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derechosmovilidadhumana-my.sharepoint.com/personal/e_alvarez_derechosmovilidadhumana_gob_ec/Documents/RENDICIÓN DE CUENTAS CNIMH/2025/Fase 2 Elaboración del informe de rendicion de cuentas/"/>
    </mc:Choice>
  </mc:AlternateContent>
  <xr:revisionPtr revIDLastSave="17" documentId="8_{63309EF2-6217-4068-8637-30DC820A5C00}" xr6:coauthVersionLast="47" xr6:coauthVersionMax="47" xr10:uidLastSave="{191EC1AF-2AF6-4800-A421-6312E3DEE586}"/>
  <bookViews>
    <workbookView xWindow="-120" yWindow="-120" windowWidth="20730" windowHeight="11040" firstSheet="3" activeTab="3" xr2:uid="{B01D27DB-13A5-4FA0-B298-BF8045FD2369}"/>
  </bookViews>
  <sheets>
    <sheet name="Reporte_Muebles_27_03_2026 12_3" sheetId="1" state="hidden" r:id="rId1"/>
    <sheet name="Hoja2" sheetId="3" state="hidden" r:id="rId2"/>
    <sheet name="Reporte_Muebles_27_03_2026  (2)" sheetId="2" state="hidden" r:id="rId3"/>
    <sheet name="Hoja1" sheetId="4" r:id="rId4"/>
  </sheets>
  <definedNames>
    <definedName name="_xlnm._FilterDatabase" localSheetId="2" hidden="1">'Reporte_Muebles_27_03_2026  (2)'!$A$2:$AT$239</definedName>
  </definedNames>
  <calcPr calcId="191029"/>
  <pivotCaches>
    <pivotCache cacheId="8"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3" l="1"/>
  <c r="I239" i="2"/>
  <c r="H239" i="2"/>
  <c r="G239" i="2"/>
  <c r="C239" i="2"/>
  <c r="B239" i="2"/>
  <c r="I238" i="2"/>
  <c r="H238" i="2"/>
  <c r="G238" i="2"/>
  <c r="C238" i="2"/>
  <c r="B238" i="2"/>
  <c r="I237" i="2"/>
  <c r="H237" i="2"/>
  <c r="G237" i="2"/>
  <c r="C237" i="2"/>
  <c r="B237" i="2"/>
  <c r="I236" i="2"/>
  <c r="H236" i="2"/>
  <c r="G236" i="2"/>
  <c r="C236" i="2"/>
  <c r="B236" i="2"/>
  <c r="I235" i="2"/>
  <c r="H235" i="2"/>
  <c r="G235" i="2"/>
  <c r="C235" i="2"/>
  <c r="B235" i="2"/>
  <c r="I234" i="2"/>
  <c r="H234" i="2"/>
  <c r="G234" i="2"/>
  <c r="C234" i="2"/>
  <c r="B234" i="2"/>
  <c r="I233" i="2"/>
  <c r="H233" i="2"/>
  <c r="G233" i="2"/>
  <c r="C233" i="2"/>
  <c r="B233" i="2"/>
  <c r="I232" i="2"/>
  <c r="H232" i="2"/>
  <c r="G232" i="2"/>
  <c r="C232" i="2"/>
  <c r="B232" i="2"/>
  <c r="I231" i="2"/>
  <c r="H231" i="2"/>
  <c r="G231" i="2"/>
  <c r="C231" i="2"/>
  <c r="B231" i="2"/>
  <c r="I230" i="2"/>
  <c r="H230" i="2"/>
  <c r="G230" i="2"/>
  <c r="C230" i="2"/>
  <c r="B230" i="2"/>
  <c r="I229" i="2"/>
  <c r="H229" i="2"/>
  <c r="G229" i="2"/>
  <c r="C229" i="2"/>
  <c r="B229" i="2"/>
  <c r="I228" i="2"/>
  <c r="H228" i="2"/>
  <c r="G228" i="2"/>
  <c r="C228" i="2"/>
  <c r="B228" i="2"/>
  <c r="I227" i="2"/>
  <c r="H227" i="2"/>
  <c r="G227" i="2"/>
  <c r="C227" i="2"/>
  <c r="B227" i="2"/>
  <c r="I226" i="2"/>
  <c r="H226" i="2"/>
  <c r="G226" i="2"/>
  <c r="C226" i="2"/>
  <c r="B226" i="2"/>
  <c r="I225" i="2"/>
  <c r="H225" i="2"/>
  <c r="G225" i="2"/>
  <c r="C225" i="2"/>
  <c r="B225" i="2"/>
  <c r="I224" i="2"/>
  <c r="H224" i="2"/>
  <c r="G224" i="2"/>
  <c r="C224" i="2"/>
  <c r="B224" i="2"/>
  <c r="I223" i="2"/>
  <c r="H223" i="2"/>
  <c r="G223" i="2"/>
  <c r="C223" i="2"/>
  <c r="B223" i="2"/>
  <c r="I222" i="2"/>
  <c r="H222" i="2"/>
  <c r="G222" i="2"/>
  <c r="C222" i="2"/>
  <c r="B222" i="2"/>
  <c r="I221" i="2"/>
  <c r="H221" i="2"/>
  <c r="G221" i="2"/>
  <c r="C221" i="2"/>
  <c r="B221" i="2"/>
  <c r="I220" i="2"/>
  <c r="H220" i="2"/>
  <c r="G220" i="2"/>
  <c r="C220" i="2"/>
  <c r="B220" i="2"/>
  <c r="I219" i="2"/>
  <c r="H219" i="2"/>
  <c r="G219" i="2"/>
  <c r="C219" i="2"/>
  <c r="B219" i="2"/>
  <c r="I218" i="2"/>
  <c r="H218" i="2"/>
  <c r="G218" i="2"/>
  <c r="C218" i="2"/>
  <c r="B218" i="2"/>
  <c r="I217" i="2"/>
  <c r="H217" i="2"/>
  <c r="G217" i="2"/>
  <c r="C217" i="2"/>
  <c r="B217" i="2"/>
  <c r="I216" i="2"/>
  <c r="H216" i="2"/>
  <c r="G216" i="2"/>
  <c r="C216" i="2"/>
  <c r="B216" i="2"/>
  <c r="I215" i="2"/>
  <c r="H215" i="2"/>
  <c r="G215" i="2"/>
  <c r="C215" i="2"/>
  <c r="B215" i="2"/>
  <c r="I214" i="2"/>
  <c r="H214" i="2"/>
  <c r="G214" i="2"/>
  <c r="C214" i="2"/>
  <c r="B214" i="2"/>
  <c r="I213" i="2"/>
  <c r="H213" i="2"/>
  <c r="G213" i="2"/>
  <c r="C213" i="2"/>
  <c r="B213" i="2"/>
  <c r="I212" i="2"/>
  <c r="H212" i="2"/>
  <c r="G212" i="2"/>
  <c r="C212" i="2"/>
  <c r="B212" i="2"/>
  <c r="I211" i="2"/>
  <c r="H211" i="2"/>
  <c r="G211" i="2"/>
  <c r="C211" i="2"/>
  <c r="B211" i="2"/>
  <c r="I210" i="2"/>
  <c r="H210" i="2"/>
  <c r="G210" i="2"/>
  <c r="C210" i="2"/>
  <c r="B210" i="2"/>
  <c r="I209" i="2"/>
  <c r="H209" i="2"/>
  <c r="G209" i="2"/>
  <c r="C209" i="2"/>
  <c r="B209" i="2"/>
  <c r="I208" i="2"/>
  <c r="H208" i="2"/>
  <c r="G208" i="2"/>
  <c r="C208" i="2"/>
  <c r="B208" i="2"/>
  <c r="I207" i="2"/>
  <c r="H207" i="2"/>
  <c r="G207" i="2"/>
  <c r="C207" i="2"/>
  <c r="B207" i="2"/>
  <c r="I206" i="2"/>
  <c r="H206" i="2"/>
  <c r="G206" i="2"/>
  <c r="C206" i="2"/>
  <c r="B206" i="2"/>
  <c r="I205" i="2"/>
  <c r="H205" i="2"/>
  <c r="G205" i="2"/>
  <c r="C205" i="2"/>
  <c r="B205" i="2"/>
  <c r="I204" i="2"/>
  <c r="H204" i="2"/>
  <c r="G204" i="2"/>
  <c r="C204" i="2"/>
  <c r="B204" i="2"/>
  <c r="I203" i="2"/>
  <c r="H203" i="2"/>
  <c r="G203" i="2"/>
  <c r="C203" i="2"/>
  <c r="B203" i="2"/>
  <c r="I202" i="2"/>
  <c r="H202" i="2"/>
  <c r="G202" i="2"/>
  <c r="C202" i="2"/>
  <c r="B202" i="2"/>
  <c r="I201" i="2"/>
  <c r="H201" i="2"/>
  <c r="G201" i="2"/>
  <c r="C201" i="2"/>
  <c r="B201" i="2"/>
  <c r="I200" i="2"/>
  <c r="H200" i="2"/>
  <c r="G200" i="2"/>
  <c r="C200" i="2"/>
  <c r="B200" i="2"/>
  <c r="I199" i="2"/>
  <c r="H199" i="2"/>
  <c r="G199" i="2"/>
  <c r="C199" i="2"/>
  <c r="B199" i="2"/>
  <c r="I198" i="2"/>
  <c r="H198" i="2"/>
  <c r="G198" i="2"/>
  <c r="C198" i="2"/>
  <c r="B198" i="2"/>
  <c r="I197" i="2"/>
  <c r="H197" i="2"/>
  <c r="G197" i="2"/>
  <c r="C197" i="2"/>
  <c r="B197" i="2"/>
  <c r="I196" i="2"/>
  <c r="H196" i="2"/>
  <c r="G196" i="2"/>
  <c r="C196" i="2"/>
  <c r="B196" i="2"/>
  <c r="I195" i="2"/>
  <c r="H195" i="2"/>
  <c r="G195" i="2"/>
  <c r="C195" i="2"/>
  <c r="B195" i="2"/>
  <c r="I194" i="2"/>
  <c r="H194" i="2"/>
  <c r="G194" i="2"/>
  <c r="C194" i="2"/>
  <c r="B194" i="2"/>
  <c r="I193" i="2"/>
  <c r="H193" i="2"/>
  <c r="G193" i="2"/>
  <c r="C193" i="2"/>
  <c r="B193" i="2"/>
  <c r="I192" i="2"/>
  <c r="H192" i="2"/>
  <c r="G192" i="2"/>
  <c r="C192" i="2"/>
  <c r="B192" i="2"/>
  <c r="I191" i="2"/>
  <c r="H191" i="2"/>
  <c r="G191" i="2"/>
  <c r="C191" i="2"/>
  <c r="B191" i="2"/>
  <c r="I190" i="2"/>
  <c r="H190" i="2"/>
  <c r="G190" i="2"/>
  <c r="C190" i="2"/>
  <c r="B190" i="2"/>
  <c r="I189" i="2"/>
  <c r="H189" i="2"/>
  <c r="G189" i="2"/>
  <c r="C189" i="2"/>
  <c r="B189" i="2"/>
  <c r="I188" i="2"/>
  <c r="H188" i="2"/>
  <c r="G188" i="2"/>
  <c r="C188" i="2"/>
  <c r="B188" i="2"/>
  <c r="I187" i="2"/>
  <c r="H187" i="2"/>
  <c r="G187" i="2"/>
  <c r="C187" i="2"/>
  <c r="B187" i="2"/>
  <c r="I186" i="2"/>
  <c r="H186" i="2"/>
  <c r="G186" i="2"/>
  <c r="C186" i="2"/>
  <c r="B186" i="2"/>
  <c r="I185" i="2"/>
  <c r="H185" i="2"/>
  <c r="G185" i="2"/>
  <c r="C185" i="2"/>
  <c r="B185" i="2"/>
  <c r="I184" i="2"/>
  <c r="H184" i="2"/>
  <c r="G184" i="2"/>
  <c r="C184" i="2"/>
  <c r="B184" i="2"/>
  <c r="I183" i="2"/>
  <c r="H183" i="2"/>
  <c r="G183" i="2"/>
  <c r="C183" i="2"/>
  <c r="B183" i="2"/>
  <c r="I182" i="2"/>
  <c r="H182" i="2"/>
  <c r="G182" i="2"/>
  <c r="C182" i="2"/>
  <c r="B182" i="2"/>
  <c r="I181" i="2"/>
  <c r="H181" i="2"/>
  <c r="G181" i="2"/>
  <c r="C181" i="2"/>
  <c r="B181" i="2"/>
  <c r="I180" i="2"/>
  <c r="H180" i="2"/>
  <c r="G180" i="2"/>
  <c r="C180" i="2"/>
  <c r="B180" i="2"/>
  <c r="I179" i="2"/>
  <c r="H179" i="2"/>
  <c r="G179" i="2"/>
  <c r="C179" i="2"/>
  <c r="B179" i="2"/>
  <c r="I178" i="2"/>
  <c r="H178" i="2"/>
  <c r="G178" i="2"/>
  <c r="C178" i="2"/>
  <c r="B178" i="2"/>
  <c r="I177" i="2"/>
  <c r="H177" i="2"/>
  <c r="G177" i="2"/>
  <c r="C177" i="2"/>
  <c r="B177" i="2"/>
  <c r="I176" i="2"/>
  <c r="H176" i="2"/>
  <c r="G176" i="2"/>
  <c r="C176" i="2"/>
  <c r="B176" i="2"/>
  <c r="I175" i="2"/>
  <c r="H175" i="2"/>
  <c r="G175" i="2"/>
  <c r="C175" i="2"/>
  <c r="B175" i="2"/>
  <c r="I174" i="2"/>
  <c r="H174" i="2"/>
  <c r="G174" i="2"/>
  <c r="C174" i="2"/>
  <c r="B174" i="2"/>
  <c r="I173" i="2"/>
  <c r="H173" i="2"/>
  <c r="G173" i="2"/>
  <c r="C173" i="2"/>
  <c r="B173" i="2"/>
  <c r="I172" i="2"/>
  <c r="H172" i="2"/>
  <c r="G172" i="2"/>
  <c r="C172" i="2"/>
  <c r="B172" i="2"/>
  <c r="I171" i="2"/>
  <c r="H171" i="2"/>
  <c r="G171" i="2"/>
  <c r="C171" i="2"/>
  <c r="B171" i="2"/>
  <c r="I170" i="2"/>
  <c r="H170" i="2"/>
  <c r="G170" i="2"/>
  <c r="C170" i="2"/>
  <c r="B170" i="2"/>
  <c r="I169" i="2"/>
  <c r="H169" i="2"/>
  <c r="G169" i="2"/>
  <c r="C169" i="2"/>
  <c r="B169" i="2"/>
  <c r="I168" i="2"/>
  <c r="H168" i="2"/>
  <c r="G168" i="2"/>
  <c r="C168" i="2"/>
  <c r="B168" i="2"/>
  <c r="I167" i="2"/>
  <c r="H167" i="2"/>
  <c r="G167" i="2"/>
  <c r="C167" i="2"/>
  <c r="B167" i="2"/>
  <c r="I166" i="2"/>
  <c r="H166" i="2"/>
  <c r="G166" i="2"/>
  <c r="C166" i="2"/>
  <c r="B166" i="2"/>
  <c r="I165" i="2"/>
  <c r="H165" i="2"/>
  <c r="G165" i="2"/>
  <c r="C165" i="2"/>
  <c r="B165" i="2"/>
  <c r="I164" i="2"/>
  <c r="H164" i="2"/>
  <c r="G164" i="2"/>
  <c r="C164" i="2"/>
  <c r="B164" i="2"/>
  <c r="I163" i="2"/>
  <c r="H163" i="2"/>
  <c r="G163" i="2"/>
  <c r="C163" i="2"/>
  <c r="B163" i="2"/>
  <c r="I162" i="2"/>
  <c r="H162" i="2"/>
  <c r="G162" i="2"/>
  <c r="C162" i="2"/>
  <c r="B162" i="2"/>
  <c r="I161" i="2"/>
  <c r="G161" i="2"/>
  <c r="C161" i="2"/>
  <c r="B161" i="2"/>
  <c r="I160" i="2"/>
  <c r="H160" i="2"/>
  <c r="G160" i="2"/>
  <c r="C160" i="2"/>
  <c r="B160" i="2"/>
  <c r="I159" i="2"/>
  <c r="H159" i="2"/>
  <c r="G159" i="2"/>
  <c r="C159" i="2"/>
  <c r="B159" i="2"/>
  <c r="I158" i="2"/>
  <c r="H158" i="2"/>
  <c r="G158" i="2"/>
  <c r="C158" i="2"/>
  <c r="B158" i="2"/>
  <c r="I157" i="2"/>
  <c r="H157" i="2"/>
  <c r="G157" i="2"/>
  <c r="C157" i="2"/>
  <c r="B157" i="2"/>
  <c r="I156" i="2"/>
  <c r="H156" i="2"/>
  <c r="G156" i="2"/>
  <c r="C156" i="2"/>
  <c r="B156" i="2"/>
  <c r="I155" i="2"/>
  <c r="H155" i="2"/>
  <c r="G155" i="2"/>
  <c r="C155" i="2"/>
  <c r="B155" i="2"/>
  <c r="I154" i="2"/>
  <c r="H154" i="2"/>
  <c r="G154" i="2"/>
  <c r="C154" i="2"/>
  <c r="B154" i="2"/>
  <c r="I153" i="2"/>
  <c r="H153" i="2"/>
  <c r="G153" i="2"/>
  <c r="C153" i="2"/>
  <c r="B153" i="2"/>
  <c r="I152" i="2"/>
  <c r="H152" i="2"/>
  <c r="G152" i="2"/>
  <c r="C152" i="2"/>
  <c r="B152" i="2"/>
  <c r="I151" i="2"/>
  <c r="H151" i="2"/>
  <c r="G151" i="2"/>
  <c r="C151" i="2"/>
  <c r="B151" i="2"/>
  <c r="I150" i="2"/>
  <c r="H150" i="2"/>
  <c r="G150" i="2"/>
  <c r="C150" i="2"/>
  <c r="B150" i="2"/>
  <c r="I149" i="2"/>
  <c r="H149" i="2"/>
  <c r="G149" i="2"/>
  <c r="C149" i="2"/>
  <c r="B149" i="2"/>
  <c r="I148" i="2"/>
  <c r="H148" i="2"/>
  <c r="G148" i="2"/>
  <c r="C148" i="2"/>
  <c r="B148" i="2"/>
  <c r="I147" i="2"/>
  <c r="H147" i="2"/>
  <c r="G147" i="2"/>
  <c r="C147" i="2"/>
  <c r="B147" i="2"/>
  <c r="I146" i="2"/>
  <c r="H146" i="2"/>
  <c r="G146" i="2"/>
  <c r="C146" i="2"/>
  <c r="B146" i="2"/>
  <c r="I145" i="2"/>
  <c r="H145" i="2"/>
  <c r="G145" i="2"/>
  <c r="C145" i="2"/>
  <c r="B145" i="2"/>
  <c r="I144" i="2"/>
  <c r="H144" i="2"/>
  <c r="G144" i="2"/>
  <c r="C144" i="2"/>
  <c r="B144" i="2"/>
  <c r="I143" i="2"/>
  <c r="H143" i="2"/>
  <c r="G143" i="2"/>
  <c r="C143" i="2"/>
  <c r="B143" i="2"/>
  <c r="I142" i="2"/>
  <c r="H142" i="2"/>
  <c r="G142" i="2"/>
  <c r="C142" i="2"/>
  <c r="B142" i="2"/>
  <c r="I141" i="2"/>
  <c r="H141" i="2"/>
  <c r="G141" i="2"/>
  <c r="C141" i="2"/>
  <c r="B141" i="2"/>
  <c r="I140" i="2"/>
  <c r="H140" i="2"/>
  <c r="G140" i="2"/>
  <c r="C140" i="2"/>
  <c r="B140" i="2"/>
  <c r="I139" i="2"/>
  <c r="H139" i="2"/>
  <c r="G139" i="2"/>
  <c r="C139" i="2"/>
  <c r="B139" i="2"/>
  <c r="I138" i="2"/>
  <c r="H138" i="2"/>
  <c r="G138" i="2"/>
  <c r="C138" i="2"/>
  <c r="B138" i="2"/>
  <c r="I137" i="2"/>
  <c r="H137" i="2"/>
  <c r="G137" i="2"/>
  <c r="C137" i="2"/>
  <c r="B137" i="2"/>
  <c r="I136" i="2"/>
  <c r="H136" i="2"/>
  <c r="G136" i="2"/>
  <c r="C136" i="2"/>
  <c r="B136" i="2"/>
  <c r="I135" i="2"/>
  <c r="H135" i="2"/>
  <c r="G135" i="2"/>
  <c r="C135" i="2"/>
  <c r="B135" i="2"/>
  <c r="I134" i="2"/>
  <c r="H134" i="2"/>
  <c r="G134" i="2"/>
  <c r="C134" i="2"/>
  <c r="B134" i="2"/>
  <c r="I133" i="2"/>
  <c r="H133" i="2"/>
  <c r="G133" i="2"/>
  <c r="C133" i="2"/>
  <c r="B133" i="2"/>
  <c r="I132" i="2"/>
  <c r="H132" i="2"/>
  <c r="G132" i="2"/>
  <c r="C132" i="2"/>
  <c r="B132" i="2"/>
  <c r="I131" i="2"/>
  <c r="H131" i="2"/>
  <c r="G131" i="2"/>
  <c r="C131" i="2"/>
  <c r="B131" i="2"/>
  <c r="I130" i="2"/>
  <c r="H130" i="2"/>
  <c r="G130" i="2"/>
  <c r="C130" i="2"/>
  <c r="B130" i="2"/>
  <c r="I129" i="2"/>
  <c r="H129" i="2"/>
  <c r="G129" i="2"/>
  <c r="C129" i="2"/>
  <c r="B129" i="2"/>
  <c r="I128" i="2"/>
  <c r="H128" i="2"/>
  <c r="G128" i="2"/>
  <c r="C128" i="2"/>
  <c r="B128" i="2"/>
  <c r="I127" i="2"/>
  <c r="H127" i="2"/>
  <c r="G127" i="2"/>
  <c r="C127" i="2"/>
  <c r="B127" i="2"/>
  <c r="I126" i="2"/>
  <c r="H126" i="2"/>
  <c r="G126" i="2"/>
  <c r="C126" i="2"/>
  <c r="B126" i="2"/>
  <c r="I125" i="2"/>
  <c r="H125" i="2"/>
  <c r="G125" i="2"/>
  <c r="C125" i="2"/>
  <c r="B125" i="2"/>
  <c r="I124" i="2"/>
  <c r="H124" i="2"/>
  <c r="G124" i="2"/>
  <c r="C124" i="2"/>
  <c r="B124" i="2"/>
  <c r="I123" i="2"/>
  <c r="H123" i="2"/>
  <c r="G123" i="2"/>
  <c r="C123" i="2"/>
  <c r="B123" i="2"/>
  <c r="I122" i="2"/>
  <c r="H122" i="2"/>
  <c r="G122" i="2"/>
  <c r="C122" i="2"/>
  <c r="B122" i="2"/>
  <c r="I121" i="2"/>
  <c r="H121" i="2"/>
  <c r="G121" i="2"/>
  <c r="C121" i="2"/>
  <c r="B121" i="2"/>
  <c r="I120" i="2"/>
  <c r="H120" i="2"/>
  <c r="G120" i="2"/>
  <c r="C120" i="2"/>
  <c r="B120" i="2"/>
  <c r="I119" i="2"/>
  <c r="H119" i="2"/>
  <c r="G119" i="2"/>
  <c r="C119" i="2"/>
  <c r="B119" i="2"/>
  <c r="I118" i="2"/>
  <c r="H118" i="2"/>
  <c r="G118" i="2"/>
  <c r="C118" i="2"/>
  <c r="B118" i="2"/>
  <c r="I117" i="2"/>
  <c r="H117" i="2"/>
  <c r="G117" i="2"/>
  <c r="C117" i="2"/>
  <c r="B117" i="2"/>
  <c r="I116" i="2"/>
  <c r="H116" i="2"/>
  <c r="G116" i="2"/>
  <c r="C116" i="2"/>
  <c r="B116" i="2"/>
  <c r="I115" i="2"/>
  <c r="H115" i="2"/>
  <c r="G115" i="2"/>
  <c r="C115" i="2"/>
  <c r="B115" i="2"/>
  <c r="I114" i="2"/>
  <c r="H114" i="2"/>
  <c r="G114" i="2"/>
  <c r="C114" i="2"/>
  <c r="B114" i="2"/>
  <c r="I113" i="2"/>
  <c r="H113" i="2"/>
  <c r="G113" i="2"/>
  <c r="C113" i="2"/>
  <c r="B113" i="2"/>
  <c r="I112" i="2"/>
  <c r="H112" i="2"/>
  <c r="G112" i="2"/>
  <c r="C112" i="2"/>
  <c r="B112" i="2"/>
  <c r="I111" i="2"/>
  <c r="H111" i="2"/>
  <c r="G111" i="2"/>
  <c r="C111" i="2"/>
  <c r="B111" i="2"/>
  <c r="I110" i="2"/>
  <c r="H110" i="2"/>
  <c r="G110" i="2"/>
  <c r="C110" i="2"/>
  <c r="B110" i="2"/>
  <c r="I109" i="2"/>
  <c r="H109" i="2"/>
  <c r="G109" i="2"/>
  <c r="C109" i="2"/>
  <c r="B109" i="2"/>
  <c r="I108" i="2"/>
  <c r="H108" i="2"/>
  <c r="G108" i="2"/>
  <c r="C108" i="2"/>
  <c r="B108" i="2"/>
  <c r="I107" i="2"/>
  <c r="H107" i="2"/>
  <c r="G107" i="2"/>
  <c r="C107" i="2"/>
  <c r="B107" i="2"/>
  <c r="I106" i="2"/>
  <c r="H106" i="2"/>
  <c r="G106" i="2"/>
  <c r="C106" i="2"/>
  <c r="B106" i="2"/>
  <c r="I105" i="2"/>
  <c r="H105" i="2"/>
  <c r="G105" i="2"/>
  <c r="C105" i="2"/>
  <c r="B105" i="2"/>
  <c r="I104" i="2"/>
  <c r="H104" i="2"/>
  <c r="G104" i="2"/>
  <c r="C104" i="2"/>
  <c r="B104" i="2"/>
  <c r="I103" i="2"/>
  <c r="H103" i="2"/>
  <c r="G103" i="2"/>
  <c r="C103" i="2"/>
  <c r="B103" i="2"/>
  <c r="I102" i="2"/>
  <c r="H102" i="2"/>
  <c r="G102" i="2"/>
  <c r="C102" i="2"/>
  <c r="B102" i="2"/>
  <c r="I101" i="2"/>
  <c r="H101" i="2"/>
  <c r="G101" i="2"/>
  <c r="C101" i="2"/>
  <c r="B101" i="2"/>
  <c r="I100" i="2"/>
  <c r="H100" i="2"/>
  <c r="G100" i="2"/>
  <c r="C100" i="2"/>
  <c r="B100" i="2"/>
  <c r="I99" i="2"/>
  <c r="H99" i="2"/>
  <c r="G99" i="2"/>
  <c r="C99" i="2"/>
  <c r="B99" i="2"/>
  <c r="I98" i="2"/>
  <c r="H98" i="2"/>
  <c r="G98" i="2"/>
  <c r="C98" i="2"/>
  <c r="B98" i="2"/>
  <c r="I97" i="2"/>
  <c r="H97" i="2"/>
  <c r="G97" i="2"/>
  <c r="C97" i="2"/>
  <c r="B97" i="2"/>
  <c r="I96" i="2"/>
  <c r="H96" i="2"/>
  <c r="G96" i="2"/>
  <c r="C96" i="2"/>
  <c r="B96" i="2"/>
  <c r="I95" i="2"/>
  <c r="H95" i="2"/>
  <c r="G95" i="2"/>
  <c r="C95" i="2"/>
  <c r="B95" i="2"/>
  <c r="I94" i="2"/>
  <c r="H94" i="2"/>
  <c r="G94" i="2"/>
  <c r="C94" i="2"/>
  <c r="B94" i="2"/>
  <c r="I93" i="2"/>
  <c r="H93" i="2"/>
  <c r="G93" i="2"/>
  <c r="C93" i="2"/>
  <c r="B93" i="2"/>
  <c r="I92" i="2"/>
  <c r="H92" i="2"/>
  <c r="G92" i="2"/>
  <c r="C92" i="2"/>
  <c r="B92" i="2"/>
  <c r="I91" i="2"/>
  <c r="H91" i="2"/>
  <c r="G91" i="2"/>
  <c r="C91" i="2"/>
  <c r="B91" i="2"/>
  <c r="I90" i="2"/>
  <c r="H90" i="2"/>
  <c r="G90" i="2"/>
  <c r="C90" i="2"/>
  <c r="B90" i="2"/>
  <c r="I89" i="2"/>
  <c r="H89" i="2"/>
  <c r="G89" i="2"/>
  <c r="C89" i="2"/>
  <c r="B89" i="2"/>
  <c r="I88" i="2"/>
  <c r="H88" i="2"/>
  <c r="G88" i="2"/>
  <c r="C88" i="2"/>
  <c r="B88" i="2"/>
  <c r="I87" i="2"/>
  <c r="H87" i="2"/>
  <c r="G87" i="2"/>
  <c r="C87" i="2"/>
  <c r="B87" i="2"/>
  <c r="I86" i="2"/>
  <c r="H86" i="2"/>
  <c r="G86" i="2"/>
  <c r="C86" i="2"/>
  <c r="B86" i="2"/>
  <c r="I85" i="2"/>
  <c r="H85" i="2"/>
  <c r="G85" i="2"/>
  <c r="C85" i="2"/>
  <c r="B85" i="2"/>
  <c r="I84" i="2"/>
  <c r="H84" i="2"/>
  <c r="G84" i="2"/>
  <c r="C84" i="2"/>
  <c r="B84" i="2"/>
  <c r="I83" i="2"/>
  <c r="H83" i="2"/>
  <c r="G83" i="2"/>
  <c r="C83" i="2"/>
  <c r="B83" i="2"/>
  <c r="I82" i="2"/>
  <c r="H82" i="2"/>
  <c r="G82" i="2"/>
  <c r="C82" i="2"/>
  <c r="B82" i="2"/>
  <c r="I81" i="2"/>
  <c r="H81" i="2"/>
  <c r="G81" i="2"/>
  <c r="C81" i="2"/>
  <c r="B81" i="2"/>
  <c r="I80" i="2"/>
  <c r="H80" i="2"/>
  <c r="G80" i="2"/>
  <c r="C80" i="2"/>
  <c r="B80" i="2"/>
  <c r="I79" i="2"/>
  <c r="H79" i="2"/>
  <c r="G79" i="2"/>
  <c r="C79" i="2"/>
  <c r="B79" i="2"/>
  <c r="I78" i="2"/>
  <c r="H78" i="2"/>
  <c r="G78" i="2"/>
  <c r="C78" i="2"/>
  <c r="B78" i="2"/>
  <c r="I77" i="2"/>
  <c r="H77" i="2"/>
  <c r="G77" i="2"/>
  <c r="C77" i="2"/>
  <c r="B77" i="2"/>
  <c r="I76" i="2"/>
  <c r="H76" i="2"/>
  <c r="G76" i="2"/>
  <c r="C76" i="2"/>
  <c r="B76" i="2"/>
  <c r="I75" i="2"/>
  <c r="H75" i="2"/>
  <c r="G75" i="2"/>
  <c r="C75" i="2"/>
  <c r="B75" i="2"/>
  <c r="I74" i="2"/>
  <c r="H74" i="2"/>
  <c r="G74" i="2"/>
  <c r="C74" i="2"/>
  <c r="B74" i="2"/>
  <c r="I73" i="2"/>
  <c r="H73" i="2"/>
  <c r="G73" i="2"/>
  <c r="C73" i="2"/>
  <c r="B73" i="2"/>
  <c r="I72" i="2"/>
  <c r="H72" i="2"/>
  <c r="G72" i="2"/>
  <c r="C72" i="2"/>
  <c r="B72" i="2"/>
  <c r="I71" i="2"/>
  <c r="H71" i="2"/>
  <c r="G71" i="2"/>
  <c r="C71" i="2"/>
  <c r="B71" i="2"/>
  <c r="I70" i="2"/>
  <c r="H70" i="2"/>
  <c r="G70" i="2"/>
  <c r="C70" i="2"/>
  <c r="B70" i="2"/>
  <c r="I69" i="2"/>
  <c r="H69" i="2"/>
  <c r="G69" i="2"/>
  <c r="C69" i="2"/>
  <c r="B69" i="2"/>
  <c r="I68" i="2"/>
  <c r="H68" i="2"/>
  <c r="G68" i="2"/>
  <c r="C68" i="2"/>
  <c r="B68" i="2"/>
  <c r="I67" i="2"/>
  <c r="H67" i="2"/>
  <c r="G67" i="2"/>
  <c r="C67" i="2"/>
  <c r="B67" i="2"/>
  <c r="I66" i="2"/>
  <c r="H66" i="2"/>
  <c r="G66" i="2"/>
  <c r="C66" i="2"/>
  <c r="B66" i="2"/>
  <c r="I65" i="2"/>
  <c r="H65" i="2"/>
  <c r="G65" i="2"/>
  <c r="C65" i="2"/>
  <c r="B65" i="2"/>
  <c r="I64" i="2"/>
  <c r="H64" i="2"/>
  <c r="G64" i="2"/>
  <c r="C64" i="2"/>
  <c r="B64" i="2"/>
  <c r="I63" i="2"/>
  <c r="H63" i="2"/>
  <c r="G63" i="2"/>
  <c r="C63" i="2"/>
  <c r="B63" i="2"/>
  <c r="I62" i="2"/>
  <c r="H62" i="2"/>
  <c r="G62" i="2"/>
  <c r="C62" i="2"/>
  <c r="B62" i="2"/>
  <c r="I61" i="2"/>
  <c r="H61" i="2"/>
  <c r="G61" i="2"/>
  <c r="C61" i="2"/>
  <c r="B61" i="2"/>
  <c r="I60" i="2"/>
  <c r="H60" i="2"/>
  <c r="G60" i="2"/>
  <c r="C60" i="2"/>
  <c r="B60" i="2"/>
  <c r="I59" i="2"/>
  <c r="H59" i="2"/>
  <c r="G59" i="2"/>
  <c r="C59" i="2"/>
  <c r="B59" i="2"/>
  <c r="I58" i="2"/>
  <c r="H58" i="2"/>
  <c r="G58" i="2"/>
  <c r="C58" i="2"/>
  <c r="B58" i="2"/>
  <c r="I57" i="2"/>
  <c r="H57" i="2"/>
  <c r="G57" i="2"/>
  <c r="C57" i="2"/>
  <c r="B57" i="2"/>
  <c r="I56" i="2"/>
  <c r="H56" i="2"/>
  <c r="G56" i="2"/>
  <c r="C56" i="2"/>
  <c r="B56" i="2"/>
  <c r="I55" i="2"/>
  <c r="H55" i="2"/>
  <c r="G55" i="2"/>
  <c r="C55" i="2"/>
  <c r="B55" i="2"/>
  <c r="I54" i="2"/>
  <c r="H54" i="2"/>
  <c r="G54" i="2"/>
  <c r="C54" i="2"/>
  <c r="B54" i="2"/>
  <c r="I53" i="2"/>
  <c r="H53" i="2"/>
  <c r="G53" i="2"/>
  <c r="C53" i="2"/>
  <c r="B53" i="2"/>
  <c r="I52" i="2"/>
  <c r="H52" i="2"/>
  <c r="G52" i="2"/>
  <c r="C52" i="2"/>
  <c r="B52" i="2"/>
  <c r="I51" i="2"/>
  <c r="H51" i="2"/>
  <c r="G51" i="2"/>
  <c r="C51" i="2"/>
  <c r="B51" i="2"/>
  <c r="I50" i="2"/>
  <c r="H50" i="2"/>
  <c r="G50" i="2"/>
  <c r="C50" i="2"/>
  <c r="B50" i="2"/>
  <c r="I49" i="2"/>
  <c r="H49" i="2"/>
  <c r="G49" i="2"/>
  <c r="C49" i="2"/>
  <c r="B49" i="2"/>
  <c r="I48" i="2"/>
  <c r="H48" i="2"/>
  <c r="G48" i="2"/>
  <c r="C48" i="2"/>
  <c r="B48" i="2"/>
  <c r="I47" i="2"/>
  <c r="H47" i="2"/>
  <c r="G47" i="2"/>
  <c r="C47" i="2"/>
  <c r="B47" i="2"/>
  <c r="I46" i="2"/>
  <c r="H46" i="2"/>
  <c r="G46" i="2"/>
  <c r="C46" i="2"/>
  <c r="B46" i="2"/>
  <c r="I45" i="2"/>
  <c r="H45" i="2"/>
  <c r="G45" i="2"/>
  <c r="C45" i="2"/>
  <c r="B45" i="2"/>
  <c r="I44" i="2"/>
  <c r="H44" i="2"/>
  <c r="G44" i="2"/>
  <c r="C44" i="2"/>
  <c r="B44" i="2"/>
  <c r="I43" i="2"/>
  <c r="H43" i="2"/>
  <c r="G43" i="2"/>
  <c r="C43" i="2"/>
  <c r="B43" i="2"/>
  <c r="I42" i="2"/>
  <c r="H42" i="2"/>
  <c r="G42" i="2"/>
  <c r="C42" i="2"/>
  <c r="B42" i="2"/>
  <c r="I41" i="2"/>
  <c r="H41" i="2"/>
  <c r="G41" i="2"/>
  <c r="C41" i="2"/>
  <c r="B41" i="2"/>
  <c r="I40" i="2"/>
  <c r="H40" i="2"/>
  <c r="G40" i="2"/>
  <c r="C40" i="2"/>
  <c r="B40" i="2"/>
  <c r="I39" i="2"/>
  <c r="H39" i="2"/>
  <c r="G39" i="2"/>
  <c r="C39" i="2"/>
  <c r="B39" i="2"/>
  <c r="I38" i="2"/>
  <c r="H38" i="2"/>
  <c r="G38" i="2"/>
  <c r="C38" i="2"/>
  <c r="B38" i="2"/>
  <c r="I37" i="2"/>
  <c r="H37" i="2"/>
  <c r="G37" i="2"/>
  <c r="C37" i="2"/>
  <c r="B37" i="2"/>
  <c r="I36" i="2"/>
  <c r="H36" i="2"/>
  <c r="G36" i="2"/>
  <c r="C36" i="2"/>
  <c r="B36" i="2"/>
  <c r="I35" i="2"/>
  <c r="H35" i="2"/>
  <c r="G35" i="2"/>
  <c r="C35" i="2"/>
  <c r="B35" i="2"/>
  <c r="I34" i="2"/>
  <c r="H34" i="2"/>
  <c r="G34" i="2"/>
  <c r="C34" i="2"/>
  <c r="B34" i="2"/>
  <c r="I33" i="2"/>
  <c r="H33" i="2"/>
  <c r="G33" i="2"/>
  <c r="C33" i="2"/>
  <c r="B33" i="2"/>
  <c r="I32" i="2"/>
  <c r="H32" i="2"/>
  <c r="G32" i="2"/>
  <c r="C32" i="2"/>
  <c r="B32" i="2"/>
  <c r="I31" i="2"/>
  <c r="H31" i="2"/>
  <c r="G31" i="2"/>
  <c r="C31" i="2"/>
  <c r="B31" i="2"/>
  <c r="I30" i="2"/>
  <c r="H30" i="2"/>
  <c r="G30" i="2"/>
  <c r="C30" i="2"/>
  <c r="B30" i="2"/>
  <c r="I29" i="2"/>
  <c r="H29" i="2"/>
  <c r="G29" i="2"/>
  <c r="C29" i="2"/>
  <c r="B29" i="2"/>
  <c r="I28" i="2"/>
  <c r="H28" i="2"/>
  <c r="G28" i="2"/>
  <c r="C28" i="2"/>
  <c r="B28" i="2"/>
  <c r="I27" i="2"/>
  <c r="H27" i="2"/>
  <c r="G27" i="2"/>
  <c r="C27" i="2"/>
  <c r="B27" i="2"/>
  <c r="I26" i="2"/>
  <c r="H26" i="2"/>
  <c r="G26" i="2"/>
  <c r="C26" i="2"/>
  <c r="B26" i="2"/>
  <c r="I25" i="2"/>
  <c r="H25" i="2"/>
  <c r="G25" i="2"/>
  <c r="C25" i="2"/>
  <c r="B25" i="2"/>
  <c r="I24" i="2"/>
  <c r="H24" i="2"/>
  <c r="G24" i="2"/>
  <c r="C24" i="2"/>
  <c r="B24" i="2"/>
  <c r="I23" i="2"/>
  <c r="H23" i="2"/>
  <c r="G23" i="2"/>
  <c r="C23" i="2"/>
  <c r="B23" i="2"/>
  <c r="I22" i="2"/>
  <c r="H22" i="2"/>
  <c r="G22" i="2"/>
  <c r="C22" i="2"/>
  <c r="B22" i="2"/>
  <c r="I21" i="2"/>
  <c r="H21" i="2"/>
  <c r="G21" i="2"/>
  <c r="C21" i="2"/>
  <c r="B21" i="2"/>
  <c r="I20" i="2"/>
  <c r="H20" i="2"/>
  <c r="G20" i="2"/>
  <c r="C20" i="2"/>
  <c r="B20" i="2"/>
  <c r="I19" i="2"/>
  <c r="H19" i="2"/>
  <c r="G19" i="2"/>
  <c r="C19" i="2"/>
  <c r="B19" i="2"/>
  <c r="I18" i="2"/>
  <c r="H18" i="2"/>
  <c r="G18" i="2"/>
  <c r="C18" i="2"/>
  <c r="B18" i="2"/>
  <c r="I17" i="2"/>
  <c r="H17" i="2"/>
  <c r="G17" i="2"/>
  <c r="C17" i="2"/>
  <c r="B17" i="2"/>
  <c r="I16" i="2"/>
  <c r="H16" i="2"/>
  <c r="G16" i="2"/>
  <c r="C16" i="2"/>
  <c r="B16" i="2"/>
  <c r="I15" i="2"/>
  <c r="H15" i="2"/>
  <c r="G15" i="2"/>
  <c r="C15" i="2"/>
  <c r="B15" i="2"/>
  <c r="I14" i="2"/>
  <c r="H14" i="2"/>
  <c r="G14" i="2"/>
  <c r="C14" i="2"/>
  <c r="B14" i="2"/>
  <c r="I13" i="2"/>
  <c r="H13" i="2"/>
  <c r="G13" i="2"/>
  <c r="C13" i="2"/>
  <c r="B13" i="2"/>
  <c r="I12" i="2"/>
  <c r="H12" i="2"/>
  <c r="G12" i="2"/>
  <c r="C12" i="2"/>
  <c r="B12" i="2"/>
  <c r="I11" i="2"/>
  <c r="H11" i="2"/>
  <c r="G11" i="2"/>
  <c r="C11" i="2"/>
  <c r="B11" i="2"/>
  <c r="I10" i="2"/>
  <c r="H10" i="2"/>
  <c r="G10" i="2"/>
  <c r="C10" i="2"/>
  <c r="B10" i="2"/>
  <c r="I9" i="2"/>
  <c r="H9" i="2"/>
  <c r="G9" i="2"/>
  <c r="C9" i="2"/>
  <c r="B9" i="2"/>
  <c r="I8" i="2"/>
  <c r="H8" i="2"/>
  <c r="G8" i="2"/>
  <c r="C8" i="2"/>
  <c r="B8" i="2"/>
  <c r="I7" i="2"/>
  <c r="H7" i="2"/>
  <c r="G7" i="2"/>
  <c r="C7" i="2"/>
  <c r="B7" i="2"/>
  <c r="I6" i="2"/>
  <c r="H6" i="2"/>
  <c r="G6" i="2"/>
  <c r="C6" i="2"/>
  <c r="B6" i="2"/>
  <c r="I5" i="2"/>
  <c r="H5" i="2"/>
  <c r="G5" i="2"/>
  <c r="C5" i="2"/>
  <c r="B5" i="2"/>
  <c r="I4" i="2"/>
  <c r="H4" i="2"/>
  <c r="G4" i="2"/>
  <c r="C4" i="2"/>
  <c r="B4" i="2"/>
  <c r="I3" i="2"/>
  <c r="H3" i="2"/>
  <c r="G3" i="2"/>
  <c r="C3" i="2"/>
  <c r="B3" i="2"/>
  <c r="I239" i="1"/>
  <c r="H239" i="1"/>
  <c r="G239" i="1"/>
  <c r="C239" i="1"/>
  <c r="B239" i="1"/>
  <c r="I238" i="1"/>
  <c r="H238" i="1"/>
  <c r="G238" i="1"/>
  <c r="C238" i="1"/>
  <c r="B238" i="1"/>
  <c r="I237" i="1"/>
  <c r="H237" i="1"/>
  <c r="G237" i="1"/>
  <c r="C237" i="1"/>
  <c r="B237" i="1"/>
  <c r="I236" i="1"/>
  <c r="H236" i="1"/>
  <c r="G236" i="1"/>
  <c r="C236" i="1"/>
  <c r="B236" i="1"/>
  <c r="I235" i="1"/>
  <c r="H235" i="1"/>
  <c r="G235" i="1"/>
  <c r="C235" i="1"/>
  <c r="B235" i="1"/>
  <c r="I234" i="1"/>
  <c r="H234" i="1"/>
  <c r="G234" i="1"/>
  <c r="C234" i="1"/>
  <c r="B234" i="1"/>
  <c r="I233" i="1"/>
  <c r="H233" i="1"/>
  <c r="G233" i="1"/>
  <c r="C233" i="1"/>
  <c r="B233" i="1"/>
  <c r="I232" i="1"/>
  <c r="H232" i="1"/>
  <c r="G232" i="1"/>
  <c r="C232" i="1"/>
  <c r="B232" i="1"/>
  <c r="I231" i="1"/>
  <c r="H231" i="1"/>
  <c r="G231" i="1"/>
  <c r="C231" i="1"/>
  <c r="B231" i="1"/>
  <c r="I230" i="1"/>
  <c r="H230" i="1"/>
  <c r="G230" i="1"/>
  <c r="C230" i="1"/>
  <c r="B230" i="1"/>
  <c r="I229" i="1"/>
  <c r="H229" i="1"/>
  <c r="G229" i="1"/>
  <c r="C229" i="1"/>
  <c r="B229" i="1"/>
  <c r="I228" i="1"/>
  <c r="H228" i="1"/>
  <c r="G228" i="1"/>
  <c r="C228" i="1"/>
  <c r="B228" i="1"/>
  <c r="I227" i="1"/>
  <c r="H227" i="1"/>
  <c r="G227" i="1"/>
  <c r="C227" i="1"/>
  <c r="B227" i="1"/>
  <c r="I226" i="1"/>
  <c r="H226" i="1"/>
  <c r="G226" i="1"/>
  <c r="C226" i="1"/>
  <c r="B226" i="1"/>
  <c r="I225" i="1"/>
  <c r="H225" i="1"/>
  <c r="G225" i="1"/>
  <c r="C225" i="1"/>
  <c r="B225" i="1"/>
  <c r="I224" i="1"/>
  <c r="H224" i="1"/>
  <c r="G224" i="1"/>
  <c r="C224" i="1"/>
  <c r="B224" i="1"/>
  <c r="I223" i="1"/>
  <c r="H223" i="1"/>
  <c r="G223" i="1"/>
  <c r="C223" i="1"/>
  <c r="B223" i="1"/>
  <c r="I222" i="1"/>
  <c r="H222" i="1"/>
  <c r="G222" i="1"/>
  <c r="C222" i="1"/>
  <c r="B222" i="1"/>
  <c r="I221" i="1"/>
  <c r="H221" i="1"/>
  <c r="G221" i="1"/>
  <c r="C221" i="1"/>
  <c r="B221" i="1"/>
  <c r="I220" i="1"/>
  <c r="H220" i="1"/>
  <c r="G220" i="1"/>
  <c r="C220" i="1"/>
  <c r="B220" i="1"/>
  <c r="I219" i="1"/>
  <c r="H219" i="1"/>
  <c r="G219" i="1"/>
  <c r="C219" i="1"/>
  <c r="B219" i="1"/>
  <c r="I218" i="1"/>
  <c r="H218" i="1"/>
  <c r="G218" i="1"/>
  <c r="C218" i="1"/>
  <c r="B218" i="1"/>
  <c r="I217" i="1"/>
  <c r="H217" i="1"/>
  <c r="G217" i="1"/>
  <c r="C217" i="1"/>
  <c r="B217" i="1"/>
  <c r="I216" i="1"/>
  <c r="H216" i="1"/>
  <c r="G216" i="1"/>
  <c r="C216" i="1"/>
  <c r="B216" i="1"/>
  <c r="I215" i="1"/>
  <c r="H215" i="1"/>
  <c r="G215" i="1"/>
  <c r="C215" i="1"/>
  <c r="B215" i="1"/>
  <c r="I214" i="1"/>
  <c r="H214" i="1"/>
  <c r="G214" i="1"/>
  <c r="C214" i="1"/>
  <c r="B214" i="1"/>
  <c r="I213" i="1"/>
  <c r="H213" i="1"/>
  <c r="G213" i="1"/>
  <c r="C213" i="1"/>
  <c r="B213" i="1"/>
  <c r="I212" i="1"/>
  <c r="H212" i="1"/>
  <c r="G212" i="1"/>
  <c r="C212" i="1"/>
  <c r="B212" i="1"/>
  <c r="I211" i="1"/>
  <c r="H211" i="1"/>
  <c r="G211" i="1"/>
  <c r="C211" i="1"/>
  <c r="B211" i="1"/>
  <c r="I210" i="1"/>
  <c r="H210" i="1"/>
  <c r="G210" i="1"/>
  <c r="C210" i="1"/>
  <c r="B210" i="1"/>
  <c r="I209" i="1"/>
  <c r="H209" i="1"/>
  <c r="G209" i="1"/>
  <c r="C209" i="1"/>
  <c r="B209" i="1"/>
  <c r="I208" i="1"/>
  <c r="H208" i="1"/>
  <c r="G208" i="1"/>
  <c r="C208" i="1"/>
  <c r="B208" i="1"/>
  <c r="I207" i="1"/>
  <c r="H207" i="1"/>
  <c r="G207" i="1"/>
  <c r="C207" i="1"/>
  <c r="B207" i="1"/>
  <c r="I206" i="1"/>
  <c r="H206" i="1"/>
  <c r="G206" i="1"/>
  <c r="C206" i="1"/>
  <c r="B206" i="1"/>
  <c r="I205" i="1"/>
  <c r="H205" i="1"/>
  <c r="G205" i="1"/>
  <c r="C205" i="1"/>
  <c r="B205" i="1"/>
  <c r="I204" i="1"/>
  <c r="H204" i="1"/>
  <c r="G204" i="1"/>
  <c r="C204" i="1"/>
  <c r="B204" i="1"/>
  <c r="I203" i="1"/>
  <c r="H203" i="1"/>
  <c r="G203" i="1"/>
  <c r="C203" i="1"/>
  <c r="B203" i="1"/>
  <c r="I202" i="1"/>
  <c r="H202" i="1"/>
  <c r="G202" i="1"/>
  <c r="C202" i="1"/>
  <c r="B202" i="1"/>
  <c r="I201" i="1"/>
  <c r="H201" i="1"/>
  <c r="G201" i="1"/>
  <c r="C201" i="1"/>
  <c r="B201" i="1"/>
  <c r="I200" i="1"/>
  <c r="H200" i="1"/>
  <c r="G200" i="1"/>
  <c r="C200" i="1"/>
  <c r="B200" i="1"/>
  <c r="I199" i="1"/>
  <c r="H199" i="1"/>
  <c r="G199" i="1"/>
  <c r="C199" i="1"/>
  <c r="B199" i="1"/>
  <c r="I198" i="1"/>
  <c r="H198" i="1"/>
  <c r="G198" i="1"/>
  <c r="C198" i="1"/>
  <c r="B198" i="1"/>
  <c r="I197" i="1"/>
  <c r="H197" i="1"/>
  <c r="G197" i="1"/>
  <c r="C197" i="1"/>
  <c r="B197" i="1"/>
  <c r="I196" i="1"/>
  <c r="H196" i="1"/>
  <c r="G196" i="1"/>
  <c r="C196" i="1"/>
  <c r="B196" i="1"/>
  <c r="I195" i="1"/>
  <c r="H195" i="1"/>
  <c r="G195" i="1"/>
  <c r="C195" i="1"/>
  <c r="B195" i="1"/>
  <c r="I194" i="1"/>
  <c r="H194" i="1"/>
  <c r="G194" i="1"/>
  <c r="C194" i="1"/>
  <c r="B194" i="1"/>
  <c r="I193" i="1"/>
  <c r="H193" i="1"/>
  <c r="G193" i="1"/>
  <c r="C193" i="1"/>
  <c r="B193" i="1"/>
  <c r="I192" i="1"/>
  <c r="H192" i="1"/>
  <c r="G192" i="1"/>
  <c r="C192" i="1"/>
  <c r="B192" i="1"/>
  <c r="I191" i="1"/>
  <c r="H191" i="1"/>
  <c r="G191" i="1"/>
  <c r="C191" i="1"/>
  <c r="B191" i="1"/>
  <c r="I190" i="1"/>
  <c r="H190" i="1"/>
  <c r="G190" i="1"/>
  <c r="C190" i="1"/>
  <c r="B190" i="1"/>
  <c r="I189" i="1"/>
  <c r="H189" i="1"/>
  <c r="G189" i="1"/>
  <c r="C189" i="1"/>
  <c r="B189" i="1"/>
  <c r="I188" i="1"/>
  <c r="H188" i="1"/>
  <c r="G188" i="1"/>
  <c r="C188" i="1"/>
  <c r="B188" i="1"/>
  <c r="I187" i="1"/>
  <c r="H187" i="1"/>
  <c r="G187" i="1"/>
  <c r="C187" i="1"/>
  <c r="B187" i="1"/>
  <c r="I186" i="1"/>
  <c r="H186" i="1"/>
  <c r="G186" i="1"/>
  <c r="C186" i="1"/>
  <c r="B186" i="1"/>
  <c r="I185" i="1"/>
  <c r="H185" i="1"/>
  <c r="G185" i="1"/>
  <c r="C185" i="1"/>
  <c r="B185" i="1"/>
  <c r="I184" i="1"/>
  <c r="H184" i="1"/>
  <c r="G184" i="1"/>
  <c r="C184" i="1"/>
  <c r="B184" i="1"/>
  <c r="I183" i="1"/>
  <c r="H183" i="1"/>
  <c r="G183" i="1"/>
  <c r="C183" i="1"/>
  <c r="B183" i="1"/>
  <c r="I182" i="1"/>
  <c r="H182" i="1"/>
  <c r="G182" i="1"/>
  <c r="C182" i="1"/>
  <c r="B182" i="1"/>
  <c r="I181" i="1"/>
  <c r="H181" i="1"/>
  <c r="G181" i="1"/>
  <c r="C181" i="1"/>
  <c r="B181" i="1"/>
  <c r="I180" i="1"/>
  <c r="H180" i="1"/>
  <c r="G180" i="1"/>
  <c r="C180" i="1"/>
  <c r="B180" i="1"/>
  <c r="I179" i="1"/>
  <c r="H179" i="1"/>
  <c r="G179" i="1"/>
  <c r="C179" i="1"/>
  <c r="B179" i="1"/>
  <c r="I178" i="1"/>
  <c r="H178" i="1"/>
  <c r="G178" i="1"/>
  <c r="C178" i="1"/>
  <c r="B178" i="1"/>
  <c r="I177" i="1"/>
  <c r="H177" i="1"/>
  <c r="G177" i="1"/>
  <c r="C177" i="1"/>
  <c r="B177" i="1"/>
  <c r="I176" i="1"/>
  <c r="H176" i="1"/>
  <c r="G176" i="1"/>
  <c r="C176" i="1"/>
  <c r="B176" i="1"/>
  <c r="I175" i="1"/>
  <c r="H175" i="1"/>
  <c r="G175" i="1"/>
  <c r="C175" i="1"/>
  <c r="B175" i="1"/>
  <c r="I174" i="1"/>
  <c r="H174" i="1"/>
  <c r="G174" i="1"/>
  <c r="C174" i="1"/>
  <c r="B174" i="1"/>
  <c r="I173" i="1"/>
  <c r="H173" i="1"/>
  <c r="G173" i="1"/>
  <c r="C173" i="1"/>
  <c r="B173" i="1"/>
  <c r="I172" i="1"/>
  <c r="H172" i="1"/>
  <c r="G172" i="1"/>
  <c r="C172" i="1"/>
  <c r="B172" i="1"/>
  <c r="I171" i="1"/>
  <c r="H171" i="1"/>
  <c r="G171" i="1"/>
  <c r="C171" i="1"/>
  <c r="B171" i="1"/>
  <c r="I170" i="1"/>
  <c r="H170" i="1"/>
  <c r="G170" i="1"/>
  <c r="C170" i="1"/>
  <c r="B170" i="1"/>
  <c r="I169" i="1"/>
  <c r="H169" i="1"/>
  <c r="G169" i="1"/>
  <c r="C169" i="1"/>
  <c r="B169" i="1"/>
  <c r="I168" i="1"/>
  <c r="H168" i="1"/>
  <c r="G168" i="1"/>
  <c r="C168" i="1"/>
  <c r="B168" i="1"/>
  <c r="I167" i="1"/>
  <c r="H167" i="1"/>
  <c r="G167" i="1"/>
  <c r="C167" i="1"/>
  <c r="B167" i="1"/>
  <c r="I166" i="1"/>
  <c r="H166" i="1"/>
  <c r="G166" i="1"/>
  <c r="C166" i="1"/>
  <c r="B166" i="1"/>
  <c r="I165" i="1"/>
  <c r="H165" i="1"/>
  <c r="G165" i="1"/>
  <c r="C165" i="1"/>
  <c r="B165" i="1"/>
  <c r="I164" i="1"/>
  <c r="H164" i="1"/>
  <c r="G164" i="1"/>
  <c r="C164" i="1"/>
  <c r="B164" i="1"/>
  <c r="I163" i="1"/>
  <c r="H163" i="1"/>
  <c r="G163" i="1"/>
  <c r="C163" i="1"/>
  <c r="B163" i="1"/>
  <c r="I162" i="1"/>
  <c r="H162" i="1"/>
  <c r="G162" i="1"/>
  <c r="C162" i="1"/>
  <c r="B162" i="1"/>
  <c r="I161" i="1"/>
  <c r="G161" i="1"/>
  <c r="C161" i="1"/>
  <c r="B161" i="1"/>
  <c r="I160" i="1"/>
  <c r="H160" i="1"/>
  <c r="G160" i="1"/>
  <c r="C160" i="1"/>
  <c r="B160" i="1"/>
  <c r="I159" i="1"/>
  <c r="H159" i="1"/>
  <c r="G159" i="1"/>
  <c r="C159" i="1"/>
  <c r="B159" i="1"/>
  <c r="I158" i="1"/>
  <c r="H158" i="1"/>
  <c r="G158" i="1"/>
  <c r="C158" i="1"/>
  <c r="B158" i="1"/>
  <c r="I157" i="1"/>
  <c r="H157" i="1"/>
  <c r="G157" i="1"/>
  <c r="C157" i="1"/>
  <c r="B157" i="1"/>
  <c r="I156" i="1"/>
  <c r="H156" i="1"/>
  <c r="G156" i="1"/>
  <c r="C156" i="1"/>
  <c r="B156" i="1"/>
  <c r="I155" i="1"/>
  <c r="H155" i="1"/>
  <c r="G155" i="1"/>
  <c r="C155" i="1"/>
  <c r="B155" i="1"/>
  <c r="I154" i="1"/>
  <c r="H154" i="1"/>
  <c r="G154" i="1"/>
  <c r="C154" i="1"/>
  <c r="B154" i="1"/>
  <c r="I153" i="1"/>
  <c r="H153" i="1"/>
  <c r="G153" i="1"/>
  <c r="C153" i="1"/>
  <c r="B153" i="1"/>
  <c r="I152" i="1"/>
  <c r="H152" i="1"/>
  <c r="G152" i="1"/>
  <c r="C152" i="1"/>
  <c r="B152" i="1"/>
  <c r="I151" i="1"/>
  <c r="H151" i="1"/>
  <c r="G151" i="1"/>
  <c r="C151" i="1"/>
  <c r="B151" i="1"/>
  <c r="I150" i="1"/>
  <c r="H150" i="1"/>
  <c r="G150" i="1"/>
  <c r="C150" i="1"/>
  <c r="B150" i="1"/>
  <c r="I149" i="1"/>
  <c r="H149" i="1"/>
  <c r="G149" i="1"/>
  <c r="C149" i="1"/>
  <c r="B149" i="1"/>
  <c r="I148" i="1"/>
  <c r="H148" i="1"/>
  <c r="G148" i="1"/>
  <c r="C148" i="1"/>
  <c r="B148" i="1"/>
  <c r="I147" i="1"/>
  <c r="H147" i="1"/>
  <c r="G147" i="1"/>
  <c r="C147" i="1"/>
  <c r="B147" i="1"/>
  <c r="I146" i="1"/>
  <c r="H146" i="1"/>
  <c r="G146" i="1"/>
  <c r="C146" i="1"/>
  <c r="B146" i="1"/>
  <c r="I145" i="1"/>
  <c r="H145" i="1"/>
  <c r="G145" i="1"/>
  <c r="C145" i="1"/>
  <c r="B145" i="1"/>
  <c r="I144" i="1"/>
  <c r="H144" i="1"/>
  <c r="G144" i="1"/>
  <c r="C144" i="1"/>
  <c r="B144" i="1"/>
  <c r="I143" i="1"/>
  <c r="H143" i="1"/>
  <c r="G143" i="1"/>
  <c r="C143" i="1"/>
  <c r="B143" i="1"/>
  <c r="I142" i="1"/>
  <c r="H142" i="1"/>
  <c r="G142" i="1"/>
  <c r="C142" i="1"/>
  <c r="B142" i="1"/>
  <c r="I141" i="1"/>
  <c r="H141" i="1"/>
  <c r="G141" i="1"/>
  <c r="C141" i="1"/>
  <c r="B141" i="1"/>
  <c r="I140" i="1"/>
  <c r="H140" i="1"/>
  <c r="G140" i="1"/>
  <c r="C140" i="1"/>
  <c r="B140" i="1"/>
  <c r="I139" i="1"/>
  <c r="H139" i="1"/>
  <c r="G139" i="1"/>
  <c r="C139" i="1"/>
  <c r="B139" i="1"/>
  <c r="I138" i="1"/>
  <c r="H138" i="1"/>
  <c r="G138" i="1"/>
  <c r="C138" i="1"/>
  <c r="B138" i="1"/>
  <c r="I137" i="1"/>
  <c r="H137" i="1"/>
  <c r="G137" i="1"/>
  <c r="C137" i="1"/>
  <c r="B137" i="1"/>
  <c r="I136" i="1"/>
  <c r="H136" i="1"/>
  <c r="G136" i="1"/>
  <c r="C136" i="1"/>
  <c r="B136" i="1"/>
  <c r="I135" i="1"/>
  <c r="H135" i="1"/>
  <c r="G135" i="1"/>
  <c r="C135" i="1"/>
  <c r="B135" i="1"/>
  <c r="I134" i="1"/>
  <c r="H134" i="1"/>
  <c r="G134" i="1"/>
  <c r="C134" i="1"/>
  <c r="B134" i="1"/>
  <c r="I133" i="1"/>
  <c r="H133" i="1"/>
  <c r="G133" i="1"/>
  <c r="C133" i="1"/>
  <c r="B133" i="1"/>
  <c r="I132" i="1"/>
  <c r="H132" i="1"/>
  <c r="G132" i="1"/>
  <c r="C132" i="1"/>
  <c r="B132" i="1"/>
  <c r="I131" i="1"/>
  <c r="H131" i="1"/>
  <c r="G131" i="1"/>
  <c r="C131" i="1"/>
  <c r="B131" i="1"/>
  <c r="I130" i="1"/>
  <c r="H130" i="1"/>
  <c r="G130" i="1"/>
  <c r="C130" i="1"/>
  <c r="B130" i="1"/>
  <c r="I129" i="1"/>
  <c r="H129" i="1"/>
  <c r="G129" i="1"/>
  <c r="C129" i="1"/>
  <c r="B129" i="1"/>
  <c r="I128" i="1"/>
  <c r="H128" i="1"/>
  <c r="G128" i="1"/>
  <c r="C128" i="1"/>
  <c r="B128" i="1"/>
  <c r="I127" i="1"/>
  <c r="H127" i="1"/>
  <c r="G127" i="1"/>
  <c r="C127" i="1"/>
  <c r="B127" i="1"/>
  <c r="I126" i="1"/>
  <c r="H126" i="1"/>
  <c r="G126" i="1"/>
  <c r="C126" i="1"/>
  <c r="B126" i="1"/>
  <c r="I125" i="1"/>
  <c r="H125" i="1"/>
  <c r="G125" i="1"/>
  <c r="C125" i="1"/>
  <c r="B125" i="1"/>
  <c r="I124" i="1"/>
  <c r="H124" i="1"/>
  <c r="G124" i="1"/>
  <c r="C124" i="1"/>
  <c r="B124" i="1"/>
  <c r="I123" i="1"/>
  <c r="H123" i="1"/>
  <c r="G123" i="1"/>
  <c r="C123" i="1"/>
  <c r="B123" i="1"/>
  <c r="I122" i="1"/>
  <c r="H122" i="1"/>
  <c r="G122" i="1"/>
  <c r="C122" i="1"/>
  <c r="B122" i="1"/>
  <c r="I121" i="1"/>
  <c r="H121" i="1"/>
  <c r="G121" i="1"/>
  <c r="C121" i="1"/>
  <c r="B121" i="1"/>
  <c r="I120" i="1"/>
  <c r="H120" i="1"/>
  <c r="G120" i="1"/>
  <c r="C120" i="1"/>
  <c r="B120" i="1"/>
  <c r="I119" i="1"/>
  <c r="H119" i="1"/>
  <c r="G119" i="1"/>
  <c r="C119" i="1"/>
  <c r="B119" i="1"/>
  <c r="I118" i="1"/>
  <c r="H118" i="1"/>
  <c r="G118" i="1"/>
  <c r="C118" i="1"/>
  <c r="B118" i="1"/>
  <c r="I117" i="1"/>
  <c r="H117" i="1"/>
  <c r="G117" i="1"/>
  <c r="C117" i="1"/>
  <c r="B117" i="1"/>
  <c r="I116" i="1"/>
  <c r="H116" i="1"/>
  <c r="G116" i="1"/>
  <c r="C116" i="1"/>
  <c r="B116" i="1"/>
  <c r="I115" i="1"/>
  <c r="H115" i="1"/>
  <c r="G115" i="1"/>
  <c r="C115" i="1"/>
  <c r="B115" i="1"/>
  <c r="I114" i="1"/>
  <c r="H114" i="1"/>
  <c r="G114" i="1"/>
  <c r="C114" i="1"/>
  <c r="B114" i="1"/>
  <c r="I113" i="1"/>
  <c r="H113" i="1"/>
  <c r="G113" i="1"/>
  <c r="C113" i="1"/>
  <c r="B113" i="1"/>
  <c r="I112" i="1"/>
  <c r="H112" i="1"/>
  <c r="G112" i="1"/>
  <c r="C112" i="1"/>
  <c r="B112" i="1"/>
  <c r="I111" i="1"/>
  <c r="H111" i="1"/>
  <c r="G111" i="1"/>
  <c r="C111" i="1"/>
  <c r="B111" i="1"/>
  <c r="I110" i="1"/>
  <c r="H110" i="1"/>
  <c r="G110" i="1"/>
  <c r="C110" i="1"/>
  <c r="B110" i="1"/>
  <c r="I109" i="1"/>
  <c r="H109" i="1"/>
  <c r="G109" i="1"/>
  <c r="C109" i="1"/>
  <c r="B109" i="1"/>
  <c r="I108" i="1"/>
  <c r="H108" i="1"/>
  <c r="G108" i="1"/>
  <c r="C108" i="1"/>
  <c r="B108" i="1"/>
  <c r="I107" i="1"/>
  <c r="H107" i="1"/>
  <c r="G107" i="1"/>
  <c r="C107" i="1"/>
  <c r="B107" i="1"/>
  <c r="I106" i="1"/>
  <c r="H106" i="1"/>
  <c r="G106" i="1"/>
  <c r="C106" i="1"/>
  <c r="B106" i="1"/>
  <c r="I105" i="1"/>
  <c r="H105" i="1"/>
  <c r="G105" i="1"/>
  <c r="C105" i="1"/>
  <c r="B105" i="1"/>
  <c r="I104" i="1"/>
  <c r="H104" i="1"/>
  <c r="G104" i="1"/>
  <c r="C104" i="1"/>
  <c r="B104" i="1"/>
  <c r="I103" i="1"/>
  <c r="H103" i="1"/>
  <c r="G103" i="1"/>
  <c r="C103" i="1"/>
  <c r="B103" i="1"/>
  <c r="I102" i="1"/>
  <c r="H102" i="1"/>
  <c r="G102" i="1"/>
  <c r="C102" i="1"/>
  <c r="B102" i="1"/>
  <c r="I101" i="1"/>
  <c r="H101" i="1"/>
  <c r="G101" i="1"/>
  <c r="C101" i="1"/>
  <c r="B101" i="1"/>
  <c r="I100" i="1"/>
  <c r="H100" i="1"/>
  <c r="G100" i="1"/>
  <c r="C100" i="1"/>
  <c r="B100" i="1"/>
  <c r="I99" i="1"/>
  <c r="H99" i="1"/>
  <c r="G99" i="1"/>
  <c r="C99" i="1"/>
  <c r="B99" i="1"/>
  <c r="I98" i="1"/>
  <c r="H98" i="1"/>
  <c r="G98" i="1"/>
  <c r="C98" i="1"/>
  <c r="B98" i="1"/>
  <c r="I97" i="1"/>
  <c r="H97" i="1"/>
  <c r="G97" i="1"/>
  <c r="C97" i="1"/>
  <c r="B97" i="1"/>
  <c r="I96" i="1"/>
  <c r="H96" i="1"/>
  <c r="G96" i="1"/>
  <c r="C96" i="1"/>
  <c r="B96" i="1"/>
  <c r="I95" i="1"/>
  <c r="H95" i="1"/>
  <c r="G95" i="1"/>
  <c r="C95" i="1"/>
  <c r="B95" i="1"/>
  <c r="I94" i="1"/>
  <c r="H94" i="1"/>
  <c r="G94" i="1"/>
  <c r="C94" i="1"/>
  <c r="B94" i="1"/>
  <c r="I93" i="1"/>
  <c r="H93" i="1"/>
  <c r="G93" i="1"/>
  <c r="C93" i="1"/>
  <c r="B93" i="1"/>
  <c r="I92" i="1"/>
  <c r="H92" i="1"/>
  <c r="G92" i="1"/>
  <c r="C92" i="1"/>
  <c r="B92" i="1"/>
  <c r="I91" i="1"/>
  <c r="H91" i="1"/>
  <c r="G91" i="1"/>
  <c r="C91" i="1"/>
  <c r="B91" i="1"/>
  <c r="I90" i="1"/>
  <c r="H90" i="1"/>
  <c r="G90" i="1"/>
  <c r="C90" i="1"/>
  <c r="B90" i="1"/>
  <c r="I89" i="1"/>
  <c r="H89" i="1"/>
  <c r="G89" i="1"/>
  <c r="C89" i="1"/>
  <c r="B89" i="1"/>
  <c r="I88" i="1"/>
  <c r="H88" i="1"/>
  <c r="G88" i="1"/>
  <c r="C88" i="1"/>
  <c r="B88" i="1"/>
  <c r="I87" i="1"/>
  <c r="H87" i="1"/>
  <c r="G87" i="1"/>
  <c r="C87" i="1"/>
  <c r="B87" i="1"/>
  <c r="I86" i="1"/>
  <c r="H86" i="1"/>
  <c r="G86" i="1"/>
  <c r="C86" i="1"/>
  <c r="B86" i="1"/>
  <c r="I85" i="1"/>
  <c r="H85" i="1"/>
  <c r="G85" i="1"/>
  <c r="C85" i="1"/>
  <c r="B85" i="1"/>
  <c r="I84" i="1"/>
  <c r="H84" i="1"/>
  <c r="G84" i="1"/>
  <c r="C84" i="1"/>
  <c r="B84" i="1"/>
  <c r="I83" i="1"/>
  <c r="H83" i="1"/>
  <c r="G83" i="1"/>
  <c r="C83" i="1"/>
  <c r="B83" i="1"/>
  <c r="I82" i="1"/>
  <c r="H82" i="1"/>
  <c r="G82" i="1"/>
  <c r="C82" i="1"/>
  <c r="B82" i="1"/>
  <c r="I81" i="1"/>
  <c r="H81" i="1"/>
  <c r="G81" i="1"/>
  <c r="C81" i="1"/>
  <c r="B81" i="1"/>
  <c r="I80" i="1"/>
  <c r="H80" i="1"/>
  <c r="G80" i="1"/>
  <c r="C80" i="1"/>
  <c r="B80" i="1"/>
  <c r="I79" i="1"/>
  <c r="H79" i="1"/>
  <c r="G79" i="1"/>
  <c r="C79" i="1"/>
  <c r="B79" i="1"/>
  <c r="I78" i="1"/>
  <c r="H78" i="1"/>
  <c r="G78" i="1"/>
  <c r="C78" i="1"/>
  <c r="B78" i="1"/>
  <c r="I77" i="1"/>
  <c r="H77" i="1"/>
  <c r="G77" i="1"/>
  <c r="C77" i="1"/>
  <c r="B77" i="1"/>
  <c r="I76" i="1"/>
  <c r="H76" i="1"/>
  <c r="G76" i="1"/>
  <c r="C76" i="1"/>
  <c r="B76" i="1"/>
  <c r="I75" i="1"/>
  <c r="H75" i="1"/>
  <c r="G75" i="1"/>
  <c r="C75" i="1"/>
  <c r="B75" i="1"/>
  <c r="I74" i="1"/>
  <c r="H74" i="1"/>
  <c r="G74" i="1"/>
  <c r="C74" i="1"/>
  <c r="B74" i="1"/>
  <c r="I73" i="1"/>
  <c r="H73" i="1"/>
  <c r="G73" i="1"/>
  <c r="C73" i="1"/>
  <c r="B73" i="1"/>
  <c r="I72" i="1"/>
  <c r="H72" i="1"/>
  <c r="G72" i="1"/>
  <c r="C72" i="1"/>
  <c r="B72" i="1"/>
  <c r="I71" i="1"/>
  <c r="H71" i="1"/>
  <c r="G71" i="1"/>
  <c r="C71" i="1"/>
  <c r="B71" i="1"/>
  <c r="I70" i="1"/>
  <c r="H70" i="1"/>
  <c r="G70" i="1"/>
  <c r="C70" i="1"/>
  <c r="B70" i="1"/>
  <c r="I69" i="1"/>
  <c r="H69" i="1"/>
  <c r="G69" i="1"/>
  <c r="C69" i="1"/>
  <c r="B69" i="1"/>
  <c r="I68" i="1"/>
  <c r="H68" i="1"/>
  <c r="G68" i="1"/>
  <c r="C68" i="1"/>
  <c r="B68" i="1"/>
  <c r="I67" i="1"/>
  <c r="H67" i="1"/>
  <c r="G67" i="1"/>
  <c r="C67" i="1"/>
  <c r="B67" i="1"/>
  <c r="I66" i="1"/>
  <c r="H66" i="1"/>
  <c r="G66" i="1"/>
  <c r="C66" i="1"/>
  <c r="B66" i="1"/>
  <c r="I65" i="1"/>
  <c r="H65" i="1"/>
  <c r="G65" i="1"/>
  <c r="C65" i="1"/>
  <c r="B65" i="1"/>
  <c r="I64" i="1"/>
  <c r="H64" i="1"/>
  <c r="G64" i="1"/>
  <c r="C64" i="1"/>
  <c r="B64" i="1"/>
  <c r="I63" i="1"/>
  <c r="H63" i="1"/>
  <c r="G63" i="1"/>
  <c r="C63" i="1"/>
  <c r="B63" i="1"/>
  <c r="I62" i="1"/>
  <c r="H62" i="1"/>
  <c r="G62" i="1"/>
  <c r="C62" i="1"/>
  <c r="B62" i="1"/>
  <c r="I61" i="1"/>
  <c r="H61" i="1"/>
  <c r="G61" i="1"/>
  <c r="C61" i="1"/>
  <c r="B61" i="1"/>
  <c r="I60" i="1"/>
  <c r="H60" i="1"/>
  <c r="G60" i="1"/>
  <c r="C60" i="1"/>
  <c r="B60" i="1"/>
  <c r="I59" i="1"/>
  <c r="H59" i="1"/>
  <c r="G59" i="1"/>
  <c r="C59" i="1"/>
  <c r="B59" i="1"/>
  <c r="I58" i="1"/>
  <c r="H58" i="1"/>
  <c r="G58" i="1"/>
  <c r="C58" i="1"/>
  <c r="B58" i="1"/>
  <c r="I57" i="1"/>
  <c r="H57" i="1"/>
  <c r="G57" i="1"/>
  <c r="C57" i="1"/>
  <c r="B57" i="1"/>
  <c r="I56" i="1"/>
  <c r="H56" i="1"/>
  <c r="G56" i="1"/>
  <c r="C56" i="1"/>
  <c r="B56" i="1"/>
  <c r="I55" i="1"/>
  <c r="H55" i="1"/>
  <c r="G55" i="1"/>
  <c r="C55" i="1"/>
  <c r="B55" i="1"/>
  <c r="I54" i="1"/>
  <c r="H54" i="1"/>
  <c r="G54" i="1"/>
  <c r="C54" i="1"/>
  <c r="B54" i="1"/>
  <c r="I53" i="1"/>
  <c r="H53" i="1"/>
  <c r="G53" i="1"/>
  <c r="C53" i="1"/>
  <c r="B53" i="1"/>
  <c r="I52" i="1"/>
  <c r="H52" i="1"/>
  <c r="G52" i="1"/>
  <c r="C52" i="1"/>
  <c r="B52" i="1"/>
  <c r="I51" i="1"/>
  <c r="H51" i="1"/>
  <c r="G51" i="1"/>
  <c r="C51" i="1"/>
  <c r="B51" i="1"/>
  <c r="I50" i="1"/>
  <c r="H50" i="1"/>
  <c r="G50" i="1"/>
  <c r="C50" i="1"/>
  <c r="B50" i="1"/>
  <c r="I49" i="1"/>
  <c r="H49" i="1"/>
  <c r="G49" i="1"/>
  <c r="C49" i="1"/>
  <c r="B49" i="1"/>
  <c r="I48" i="1"/>
  <c r="H48" i="1"/>
  <c r="G48" i="1"/>
  <c r="C48" i="1"/>
  <c r="B48" i="1"/>
  <c r="I47" i="1"/>
  <c r="H47" i="1"/>
  <c r="G47" i="1"/>
  <c r="C47" i="1"/>
  <c r="B47" i="1"/>
  <c r="I46" i="1"/>
  <c r="H46" i="1"/>
  <c r="G46" i="1"/>
  <c r="C46" i="1"/>
  <c r="B46" i="1"/>
  <c r="I45" i="1"/>
  <c r="H45" i="1"/>
  <c r="G45" i="1"/>
  <c r="C45" i="1"/>
  <c r="B45" i="1"/>
  <c r="I44" i="1"/>
  <c r="H44" i="1"/>
  <c r="G44" i="1"/>
  <c r="C44" i="1"/>
  <c r="B44" i="1"/>
  <c r="I43" i="1"/>
  <c r="H43" i="1"/>
  <c r="G43" i="1"/>
  <c r="C43" i="1"/>
  <c r="B43" i="1"/>
  <c r="I42" i="1"/>
  <c r="H42" i="1"/>
  <c r="G42" i="1"/>
  <c r="C42" i="1"/>
  <c r="B42" i="1"/>
  <c r="I41" i="1"/>
  <c r="H41" i="1"/>
  <c r="G41" i="1"/>
  <c r="C41" i="1"/>
  <c r="B41" i="1"/>
  <c r="I40" i="1"/>
  <c r="H40" i="1"/>
  <c r="G40" i="1"/>
  <c r="C40" i="1"/>
  <c r="B40" i="1"/>
  <c r="I39" i="1"/>
  <c r="H39" i="1"/>
  <c r="G39" i="1"/>
  <c r="C39" i="1"/>
  <c r="B39" i="1"/>
  <c r="I38" i="1"/>
  <c r="H38" i="1"/>
  <c r="G38" i="1"/>
  <c r="C38" i="1"/>
  <c r="B38" i="1"/>
  <c r="I37" i="1"/>
  <c r="H37" i="1"/>
  <c r="G37" i="1"/>
  <c r="C37" i="1"/>
  <c r="B37" i="1"/>
  <c r="I36" i="1"/>
  <c r="H36" i="1"/>
  <c r="G36" i="1"/>
  <c r="C36" i="1"/>
  <c r="B36" i="1"/>
  <c r="I35" i="1"/>
  <c r="H35" i="1"/>
  <c r="G35" i="1"/>
  <c r="C35" i="1"/>
  <c r="B35" i="1"/>
  <c r="I34" i="1"/>
  <c r="H34" i="1"/>
  <c r="G34" i="1"/>
  <c r="C34" i="1"/>
  <c r="B34" i="1"/>
  <c r="I33" i="1"/>
  <c r="H33" i="1"/>
  <c r="G33" i="1"/>
  <c r="C33" i="1"/>
  <c r="B33" i="1"/>
  <c r="I32" i="1"/>
  <c r="H32" i="1"/>
  <c r="G32" i="1"/>
  <c r="C32" i="1"/>
  <c r="B32" i="1"/>
  <c r="I31" i="1"/>
  <c r="H31" i="1"/>
  <c r="G31" i="1"/>
  <c r="C31" i="1"/>
  <c r="B31" i="1"/>
  <c r="I30" i="1"/>
  <c r="H30" i="1"/>
  <c r="G30" i="1"/>
  <c r="C30" i="1"/>
  <c r="B30" i="1"/>
  <c r="I29" i="1"/>
  <c r="H29" i="1"/>
  <c r="G29" i="1"/>
  <c r="C29" i="1"/>
  <c r="B29" i="1"/>
  <c r="I28" i="1"/>
  <c r="H28" i="1"/>
  <c r="G28" i="1"/>
  <c r="C28" i="1"/>
  <c r="B28" i="1"/>
  <c r="I27" i="1"/>
  <c r="H27" i="1"/>
  <c r="G27" i="1"/>
  <c r="C27" i="1"/>
  <c r="B27" i="1"/>
  <c r="I26" i="1"/>
  <c r="H26" i="1"/>
  <c r="G26" i="1"/>
  <c r="C26" i="1"/>
  <c r="B26" i="1"/>
  <c r="I25" i="1"/>
  <c r="H25" i="1"/>
  <c r="G25" i="1"/>
  <c r="C25" i="1"/>
  <c r="B25" i="1"/>
  <c r="I24" i="1"/>
  <c r="H24" i="1"/>
  <c r="G24" i="1"/>
  <c r="C24" i="1"/>
  <c r="B24" i="1"/>
  <c r="I23" i="1"/>
  <c r="H23" i="1"/>
  <c r="G23" i="1"/>
  <c r="C23" i="1"/>
  <c r="B23" i="1"/>
  <c r="I22" i="1"/>
  <c r="H22" i="1"/>
  <c r="G22" i="1"/>
  <c r="C22" i="1"/>
  <c r="B22" i="1"/>
  <c r="I21" i="1"/>
  <c r="H21" i="1"/>
  <c r="G21" i="1"/>
  <c r="C21" i="1"/>
  <c r="B21" i="1"/>
  <c r="I20" i="1"/>
  <c r="H20" i="1"/>
  <c r="G20" i="1"/>
  <c r="C20" i="1"/>
  <c r="B20" i="1"/>
  <c r="I19" i="1"/>
  <c r="H19" i="1"/>
  <c r="G19" i="1"/>
  <c r="C19" i="1"/>
  <c r="B19" i="1"/>
  <c r="I18" i="1"/>
  <c r="H18" i="1"/>
  <c r="G18" i="1"/>
  <c r="C18" i="1"/>
  <c r="B18" i="1"/>
  <c r="I17" i="1"/>
  <c r="H17" i="1"/>
  <c r="G17" i="1"/>
  <c r="C17" i="1"/>
  <c r="B17" i="1"/>
  <c r="I16" i="1"/>
  <c r="H16" i="1"/>
  <c r="G16" i="1"/>
  <c r="C16" i="1"/>
  <c r="B16" i="1"/>
  <c r="I15" i="1"/>
  <c r="H15" i="1"/>
  <c r="G15" i="1"/>
  <c r="C15" i="1"/>
  <c r="B15" i="1"/>
  <c r="I14" i="1"/>
  <c r="H14" i="1"/>
  <c r="G14" i="1"/>
  <c r="C14" i="1"/>
  <c r="B14" i="1"/>
  <c r="I13" i="1"/>
  <c r="H13" i="1"/>
  <c r="G13" i="1"/>
  <c r="C13" i="1"/>
  <c r="B13" i="1"/>
  <c r="I12" i="1"/>
  <c r="H12" i="1"/>
  <c r="G12" i="1"/>
  <c r="C12" i="1"/>
  <c r="B12" i="1"/>
  <c r="I11" i="1"/>
  <c r="H11" i="1"/>
  <c r="G11" i="1"/>
  <c r="C11" i="1"/>
  <c r="B11" i="1"/>
  <c r="I10" i="1"/>
  <c r="H10" i="1"/>
  <c r="G10" i="1"/>
  <c r="C10" i="1"/>
  <c r="B10" i="1"/>
  <c r="I9" i="1"/>
  <c r="H9" i="1"/>
  <c r="G9" i="1"/>
  <c r="C9" i="1"/>
  <c r="B9" i="1"/>
  <c r="I8" i="1"/>
  <c r="H8" i="1"/>
  <c r="G8" i="1"/>
  <c r="C8" i="1"/>
  <c r="B8" i="1"/>
  <c r="I7" i="1"/>
  <c r="H7" i="1"/>
  <c r="G7" i="1"/>
  <c r="C7" i="1"/>
  <c r="B7" i="1"/>
  <c r="I6" i="1"/>
  <c r="H6" i="1"/>
  <c r="G6" i="1"/>
  <c r="C6" i="1"/>
  <c r="B6" i="1"/>
  <c r="I5" i="1"/>
  <c r="H5" i="1"/>
  <c r="G5" i="1"/>
  <c r="C5" i="1"/>
  <c r="B5" i="1"/>
  <c r="I4" i="1"/>
  <c r="H4" i="1"/>
  <c r="G4" i="1"/>
  <c r="C4" i="1"/>
  <c r="B4" i="1"/>
  <c r="I3" i="1"/>
  <c r="H3" i="1"/>
  <c r="G3" i="1"/>
  <c r="C3" i="1"/>
  <c r="B3" i="1"/>
  <c r="D9" i="3"/>
  <c r="D8" i="3"/>
  <c r="D4" i="3"/>
</calcChain>
</file>

<file path=xl/sharedStrings.xml><?xml version="1.0" encoding="utf-8"?>
<sst xmlns="http://schemas.openxmlformats.org/spreadsheetml/2006/main" count="12793" uniqueCount="659">
  <si>
    <t>REPORTE TIPO BIEN - MUEBLES</t>
  </si>
  <si>
    <t>Código del Bien</t>
  </si>
  <si>
    <t>Código Anterior</t>
  </si>
  <si>
    <t>Identificador</t>
  </si>
  <si>
    <t>Nro de Acta/ Nro de Matriz</t>
  </si>
  <si>
    <t>(BLD) o (BCA)</t>
  </si>
  <si>
    <t>Bien</t>
  </si>
  <si>
    <t>Serie/ Identificación</t>
  </si>
  <si>
    <t>Modelo/ Características</t>
  </si>
  <si>
    <t>Marca/ Otros</t>
  </si>
  <si>
    <t>Crítico</t>
  </si>
  <si>
    <t>Moneda</t>
  </si>
  <si>
    <t>Valor de Compra</t>
  </si>
  <si>
    <t>Recompra</t>
  </si>
  <si>
    <t>Color</t>
  </si>
  <si>
    <t>Material</t>
  </si>
  <si>
    <t>Dimensiones</t>
  </si>
  <si>
    <t>Condición del Bien</t>
  </si>
  <si>
    <t>Habilitado</t>
  </si>
  <si>
    <t>Estado Bien</t>
  </si>
  <si>
    <t>Id Bodega</t>
  </si>
  <si>
    <t>Bodega</t>
  </si>
  <si>
    <t>Id Ubicación</t>
  </si>
  <si>
    <t>Ubicación de Bodega</t>
  </si>
  <si>
    <t>Nro de Cédula/ RUC</t>
  </si>
  <si>
    <t>Custodio Actual</t>
  </si>
  <si>
    <t>Custodio Activo</t>
  </si>
  <si>
    <t>Origen del Ingreso</t>
  </si>
  <si>
    <t>Tipo de Ingreso</t>
  </si>
  <si>
    <t>Nro de Compromiso</t>
  </si>
  <si>
    <t>Estado del Acta</t>
  </si>
  <si>
    <t>Contabilizado del Acta</t>
  </si>
  <si>
    <t>Contabilizado del Bien</t>
  </si>
  <si>
    <t>Descripción</t>
  </si>
  <si>
    <t>Item/ Renglón</t>
  </si>
  <si>
    <t>Cuenta Contable</t>
  </si>
  <si>
    <t>Depreciable</t>
  </si>
  <si>
    <t>Fecha de Creación</t>
  </si>
  <si>
    <t>Fecha de Ingreso</t>
  </si>
  <si>
    <t>Fecha Última Depreciación</t>
  </si>
  <si>
    <t>Vida Útil</t>
  </si>
  <si>
    <t>Fecha Término Depreciación</t>
  </si>
  <si>
    <t>Valor Contable</t>
  </si>
  <si>
    <t>Valor Residual</t>
  </si>
  <si>
    <t>Valor en Libros</t>
  </si>
  <si>
    <t>Valor Depreciación Acumulada</t>
  </si>
  <si>
    <t>Comodato</t>
  </si>
  <si>
    <t>BCA</t>
  </si>
  <si>
    <t>BIENES SUJETOS A CONTROL/BANDERA NACIONAL</t>
  </si>
  <si>
    <t>N</t>
  </si>
  <si>
    <t>377.44</t>
  </si>
  <si>
    <t>BLANCO</t>
  </si>
  <si>
    <t>TERCIOPELO SHIFON</t>
  </si>
  <si>
    <t>1,30 METROS X 1.00 METROS ASTA DE 2.25 METROS DE A</t>
  </si>
  <si>
    <t>BUENO</t>
  </si>
  <si>
    <t>S</t>
  </si>
  <si>
    <t>APROBADO</t>
  </si>
  <si>
    <t>PLATAFORMA GUBERNAMENTAL NORTE PISO 7 TORRE VERDE BODEGA DE INVENTARIOS</t>
  </si>
  <si>
    <t>PLATAFORMA GUBERNAMENTAL NORTE</t>
  </si>
  <si>
    <t>DUTAN TAMAYO HUGO ERNESTO</t>
  </si>
  <si>
    <t>COMPRA</t>
  </si>
  <si>
    <t>ACTA</t>
  </si>
  <si>
    <t>LEGALIZADO</t>
  </si>
  <si>
    <t>ADQUISICION DE 2 BANDERAS CON SUS RESPECTIVAS ASTAS 1 BANDERA DEL ECUADOR, 1 BANDERA INSTITUCIONAL</t>
  </si>
  <si>
    <t>911.17.00</t>
  </si>
  <si>
    <t>BANDERA TRICOLOR AMARILLO, AZUL Y ROJO</t>
  </si>
  <si>
    <t>1,30 METROS X 1,00 METROS</t>
  </si>
  <si>
    <t>BIENES SUJETOS A CONTROL/ESPIRALADORA</t>
  </si>
  <si>
    <t>PLOMO</t>
  </si>
  <si>
    <t>METAL</t>
  </si>
  <si>
    <t>38 CM DE ANCHO POR 11 CM DE ALTO</t>
  </si>
  <si>
    <t>FLORES FLORES JOFFRE FABIAN</t>
  </si>
  <si>
    <t>REG ESIGEF</t>
  </si>
  <si>
    <t>No Aplica</t>
  </si>
  <si>
    <t>COMPRA DE UNA ESPIRALADORA METALICA Y UNA GUILLOTINA A4</t>
  </si>
  <si>
    <t>BIENES SUJETOS A CONTROL/GUILLOTINA</t>
  </si>
  <si>
    <t>BEAGE /NEGRO</t>
  </si>
  <si>
    <t>BASE METALICA / PALANCA</t>
  </si>
  <si>
    <t>25.5 CMM ANCHO Y 33 CM DE LARGO</t>
  </si>
  <si>
    <t>BIENES SUJETOS A CONTROL/TECLADO</t>
  </si>
  <si>
    <t>38.60</t>
  </si>
  <si>
    <t>PLOMO RATON</t>
  </si>
  <si>
    <t>PLASTICO,GOMA Y METAL</t>
  </si>
  <si>
    <t>TECLADO : L: 43 CM A: 12.5 CM Y H: 1.5CM MOUSE:COM</t>
  </si>
  <si>
    <t>ADQUISICIN DE 11 TECLADOS MOUSE LOGITECH MK WIRELESS SEGUN SOLICITUD EN MEMORANDO NRO. CNIMH-DAF-2019-0366-MEMO Y MEMORANDO NRO. CNIMH-DAF-2019-0367 SEGUN FACTURA NRO. 001-001-000002561</t>
  </si>
  <si>
    <t>38.57</t>
  </si>
  <si>
    <t>RICAURTE MOSQUERA JOSHUA FELIPE</t>
  </si>
  <si>
    <t>PALACIOS CORONEL DIANA ALEXANDRA</t>
  </si>
  <si>
    <t>ECLADO : L: 43 CM A: 12.5 CM Y H: 1.5CM MOUSE:COM</t>
  </si>
  <si>
    <t>RODRIGUEZ LOPEZ DAVID RAFAEL</t>
  </si>
  <si>
    <t>BIENES SUJETOS A CONTROL/CORCHOGRAFO</t>
  </si>
  <si>
    <t>56.26</t>
  </si>
  <si>
    <t>CAFÉ</t>
  </si>
  <si>
    <t>PLANCHA DE CORCHO Y PERFIL DE ALUIMINIO</t>
  </si>
  <si>
    <t>LARGO: 1.20 METROS ALTO 0.80 CM</t>
  </si>
  <si>
    <t>ALVAREZ COBA ELVA TATIANA</t>
  </si>
  <si>
    <t>INCORPORA1</t>
  </si>
  <si>
    <t>INCORPORACION DE DOS TABLEROS DE CORCHO SEGUN INFORME TECNICO NRO. 002-DAF-CNIMH-2020, DEBIDO A QUE SE ENCONTRABA EN OTRO ITEM PRESUPUESTARIO, EL CUAL SE ADQUIRIO CON FACTURA NRO.001-001-0000000675 DE FECHA 09 DE DICIEMBRE DE 2019</t>
  </si>
  <si>
    <t>CAFE</t>
  </si>
  <si>
    <t>BIENES SUJETOS A CONTROL/CAFETERA</t>
  </si>
  <si>
    <t>NEGRO Y PLOMO</t>
  </si>
  <si>
    <t>ACERO INOXIDABLE Y PLASTICO</t>
  </si>
  <si>
    <t>47,2 x 29,2 x 29,2 cm. (Alto x Largo x Ancho).</t>
  </si>
  <si>
    <t>INCORPORACION DE UNA CAFETERA QUE SE ENCONTRABA EN LA CUENTA DE EXISTENCIAS MENAJE DE COCINA DE HOGAR ACCESORIOS DESCARTABLES Y ACCESORIOS DE OFICINA Y SE REQUIERE RECLASIFICARLA COMO UN BIEN DE CONTROL SEGUN INFORME TECNICO N002-DAF-CNIMH-2019</t>
  </si>
  <si>
    <t>BIENES SUJETOS A CONTROL/PIZARRA</t>
  </si>
  <si>
    <t>129.96</t>
  </si>
  <si>
    <t>BLANCO CON PLOMO</t>
  </si>
  <si>
    <t>Porcelanizado tipo fórmica, Perfil de aluminio,</t>
  </si>
  <si>
    <t>200CM X 120 CM</t>
  </si>
  <si>
    <t>CARRILLO CHUQUITARCO DIEGO FERNANDO</t>
  </si>
  <si>
    <t>INCORPORACION DE BIEN DE CONTROL ADMINISTRATIVO DEBIDO A QUE SE ENCONTRABA EN LA PARTIDA DE EXISTENCIAS DE SUMINISTROS DE OFICINA PARA LO CUAL SE REALIZA EL INFORME TECNICO NRO 003 PARA JUSTIFICAR LA RECLASIFICACION DEL BIEN</t>
  </si>
  <si>
    <t>BIENES SUJETOS A CONTROL/TRIPODE PARA CAMARA</t>
  </si>
  <si>
    <t>55.55</t>
  </si>
  <si>
    <t>NEGRO</t>
  </si>
  <si>
    <t>METAL Y PLASTICO</t>
  </si>
  <si>
    <t>172 CM</t>
  </si>
  <si>
    <t>DONACION</t>
  </si>
  <si>
    <t>DONACION TRIPODE POR PARTE DE UNHCR ACNUR CONFORME ACTA DE DONACIÓN SUSCRITA SERIE S/N, MODELO 6662A MARCA WEIFENG</t>
  </si>
  <si>
    <t>BIENES SUJETOS A CONTROL/MICROFONO</t>
  </si>
  <si>
    <t>45 x 70 x 35 mm</t>
  </si>
  <si>
    <t>DONACION MICROFONO INALAMBRICO POR PARTE DE UNHCR ACNUR CONFORME ACTA DE DONACIÓN SUSCRITA SERIE S/N, MODELO BY-WM4 PRO MARCA BOYA</t>
  </si>
  <si>
    <t>18.00MMH X 8.30MMW X 8.30MMD</t>
  </si>
  <si>
    <t>DONACION MICROFONO POR PARTE DE UNHCR ACNUR CONFORME ACTA DE DONACIÓN SUSCRITA SERIE BY2009860280, MODELO LAVALIER BY-M1 MARCA BOYA</t>
  </si>
  <si>
    <t>DONACION MICROFONO POR PARTE DE UNHCR ACNUR CONFORME ACTA DE DONACIÓN SUSCRITA SERIE BY2009864595, MODELO LAVALIER BY-M1 MARCA BOYA</t>
  </si>
  <si>
    <t>BIENES SUJETOS A CONTROL/CAMARA FOTOGRAFICA/CAMARA FOTOGRAFICA</t>
  </si>
  <si>
    <t>122.4 x 92.6 x 69.8 mm</t>
  </si>
  <si>
    <t>DONACION CAMARA POR PARTE DE UNHCR ACNUR CONFORME ACTA DE DONACIÓN SUSCRITA SERIE 302073006547, MODELO REBEL SL3 MARCA CANON</t>
  </si>
  <si>
    <t>BIENES SUJETOS A CONTROL/DISCO DURO</t>
  </si>
  <si>
    <t>AZUL</t>
  </si>
  <si>
    <t>22mm x 80mm x 2.1mm</t>
  </si>
  <si>
    <t>GUERRA ASLALEMA DARWIN BAYARDO</t>
  </si>
  <si>
    <t>COMPRA DISCO SOLIDO 1TB CONFORME NUMERO DE COMPROBANTE CNIMH-2025-0231-MEMO, MODELO SSD PCIE NVME, MARCA KINGSTON PROVEEDOR DATAPRO S.A RUC 1791083210001</t>
  </si>
  <si>
    <t>BLD</t>
  </si>
  <si>
    <t>MUEBLES DE USO GENERAL/CAJONERA/MIXTO</t>
  </si>
  <si>
    <t>MADERA Y METAL</t>
  </si>
  <si>
    <t>NO APLICA</t>
  </si>
  <si>
    <t>MATRIZ1</t>
  </si>
  <si>
    <t>MATRIZ</t>
  </si>
  <si>
    <t>CAJONERA RECTANGULAR DE MADERA Y METAL CON 2 SERVICIOS</t>
  </si>
  <si>
    <t>141.01.03</t>
  </si>
  <si>
    <t>9.30</t>
  </si>
  <si>
    <t>83.70</t>
  </si>
  <si>
    <t>MUEBLES DE OFICINA/ESCRITORIO/MIXTO</t>
  </si>
  <si>
    <t>CAFE CLARO Y NEGRO</t>
  </si>
  <si>
    <t>ESCRITORIO DE MADERA Y METAL CON CAJONERAS</t>
  </si>
  <si>
    <t>843.19</t>
  </si>
  <si>
    <t>CAQUI Y PLOMO</t>
  </si>
  <si>
    <t>84.32</t>
  </si>
  <si>
    <t>758.87</t>
  </si>
  <si>
    <t>MUEBLES DE CAFETERIA; COMEDOR Y SALA/ALACENA/MADERA</t>
  </si>
  <si>
    <t>190.85</t>
  </si>
  <si>
    <t>BLANCO CON CAQUI</t>
  </si>
  <si>
    <t>VILLAVICENCIO SALAZAR NICOLAS GABRIEL</t>
  </si>
  <si>
    <t>MUEBLES DE CAFETERIA COMEDOR Y SALA/ALACENA/MDF</t>
  </si>
  <si>
    <t>19.09</t>
  </si>
  <si>
    <t>171.76</t>
  </si>
  <si>
    <t>CAQUI CON NEGRO</t>
  </si>
  <si>
    <t>GARCES TIPAN TANSHA DEL PILAR</t>
  </si>
  <si>
    <t>145.60</t>
  </si>
  <si>
    <t>1310.40</t>
  </si>
  <si>
    <t>MUEBLES DE OFICINA/MESA REDONDA/MIXTA</t>
  </si>
  <si>
    <t>BEIGE</t>
  </si>
  <si>
    <t>MADERA METAL</t>
  </si>
  <si>
    <t>1900MM DE DIAMETRO</t>
  </si>
  <si>
    <t>MACHUCA PALACIOS SONIA VERONICA</t>
  </si>
  <si>
    <t>PROVEEDOR VICTOR TELLO SERVICIOS Y COMERCIO RUC 1700505835001 SOFA BIPERSONAL MESA REUNION CIRCULAR 900MM 4P SILLA CHUKUY MESA SALA REUNIONES 12 PER SILLON QHAPAX, OC CE20240002721946 CE20240002721947 CE20240002721948 CE20240002721949 CE2024002721953</t>
  </si>
  <si>
    <t>11.60</t>
  </si>
  <si>
    <t>102.46</t>
  </si>
  <si>
    <t>13.54</t>
  </si>
  <si>
    <t>ULLOA MONAR FANNY CRISTINA</t>
  </si>
  <si>
    <t>102.48</t>
  </si>
  <si>
    <t>13.52</t>
  </si>
  <si>
    <t>MUEBLES DE OFICINA/SILLA/APOYABRAZOS</t>
  </si>
  <si>
    <t>77.77</t>
  </si>
  <si>
    <t>GRIS</t>
  </si>
  <si>
    <t>METALICA NYLON TELA TIPO TEXTERA R</t>
  </si>
  <si>
    <t>35MM Y 60 MM</t>
  </si>
  <si>
    <t>7.78</t>
  </si>
  <si>
    <t>68.71</t>
  </si>
  <si>
    <t>9.06</t>
  </si>
  <si>
    <t>MUEBLES DE OFICINA/SILLON/NO GIRATORIO</t>
  </si>
  <si>
    <t>98.20</t>
  </si>
  <si>
    <t>MADERA CUERINA Y ALUMINIO DE 5 PUNTAS</t>
  </si>
  <si>
    <t>9.82</t>
  </si>
  <si>
    <t>86.76</t>
  </si>
  <si>
    <t>11.44</t>
  </si>
  <si>
    <t>MUEBLES DE OFICINA/SOFA/BIPERSONAL</t>
  </si>
  <si>
    <t>129.90</t>
  </si>
  <si>
    <t>MADERA POLIURETANO CUERINA</t>
  </si>
  <si>
    <t>TIPO L 150MM X 30MM CON 5MM DE ESPESOR</t>
  </si>
  <si>
    <t>12.99</t>
  </si>
  <si>
    <t>114.81</t>
  </si>
  <si>
    <t>15.09</t>
  </si>
  <si>
    <t>MUEBLES DE OFICINA/MESA DE REUNION/MIXTA</t>
  </si>
  <si>
    <t>WENGUE</t>
  </si>
  <si>
    <t>AGLOMERADO DE 15 MM Y RECUBIERTA CON LAMINADO</t>
  </si>
  <si>
    <t>SUPERFICIE 3400MM X 1500MM</t>
  </si>
  <si>
    <t>HURTADO JACOME GISSELA VIVIANA</t>
  </si>
  <si>
    <t>91.90</t>
  </si>
  <si>
    <t>812.07</t>
  </si>
  <si>
    <t>106.93</t>
  </si>
  <si>
    <t>MUEBLES DE OFICINA/SILLON/GIRATORIO</t>
  </si>
  <si>
    <t>87.77</t>
  </si>
  <si>
    <t>Madera terciada ,POLIURETANO Tela tipo TEXTURA</t>
  </si>
  <si>
    <t>ASIENTO Y ESPALDAR: Inyectable e=60mm</t>
  </si>
  <si>
    <t>PROVEEDOR VICTOR TELLO SERVICIOS Y COMERCIO RUC 1700505835001, SILLA DE VISITA, SILLON QHAPAX VISITA, SILLATIYAKUY, OC CE20240002721945 CE20240002721950 CE20240002721954</t>
  </si>
  <si>
    <t>8.78</t>
  </si>
  <si>
    <t>77.57</t>
  </si>
  <si>
    <t>10.20</t>
  </si>
  <si>
    <t>MUEBLES DE OFICINA/SILLA/ESTATICA</t>
  </si>
  <si>
    <t>22.98</t>
  </si>
  <si>
    <t>2.30</t>
  </si>
  <si>
    <t>20.29</t>
  </si>
  <si>
    <t>2.69</t>
  </si>
  <si>
    <t>ORTEGA QUINTE SHIRLEY NICOLE</t>
  </si>
  <si>
    <t>20.28</t>
  </si>
  <si>
    <t>2.70</t>
  </si>
  <si>
    <t>MUEBLES DE OFICINA/SILLA/GIRATORIA</t>
  </si>
  <si>
    <t>7.80</t>
  </si>
  <si>
    <t>68.91</t>
  </si>
  <si>
    <t>9.09</t>
  </si>
  <si>
    <t>SILVA TOLEDO RICARDO WLADIMIR</t>
  </si>
  <si>
    <t>ANDA JIMENEZ ANA GABRIELA</t>
  </si>
  <si>
    <t>68.89</t>
  </si>
  <si>
    <t>9.11</t>
  </si>
  <si>
    <t>MUEBLES DE OFICINA/ESTANTERIA/METAL</t>
  </si>
  <si>
    <t>103.52</t>
  </si>
  <si>
    <t>2000mm DE ALTO X 1050 mm DE ANCHO X 400 mm FONDO</t>
  </si>
  <si>
    <t>PROVEEDOR MOBILIARIO Y AMBIENTES METMEL S.A. RUC 1792835941001,(3 ESTANTERIAS METALICAS) OC CE20240002721944</t>
  </si>
  <si>
    <t>10.35</t>
  </si>
  <si>
    <t>91.98</t>
  </si>
  <si>
    <t>11.54</t>
  </si>
  <si>
    <t>MUEBLES DE OFICINA/ARCHIVADOR/MIXTO</t>
  </si>
  <si>
    <t>NEGRO Y GRIS</t>
  </si>
  <si>
    <t>METAL Y MADERA</t>
  </si>
  <si>
    <t>900 MM X 600 MM X 730 MM</t>
  </si>
  <si>
    <t>PROVEEDOR MUEBLES PJ COMPROMISO Y CALIDAD RUC 1003020680001, ARMARIO 900MM X 350MM X 2000MM, ARCHIVADOR BAJO CARPETAS COLGANTES OC CE20240002721951 CE20240002721952</t>
  </si>
  <si>
    <t>12.90</t>
  </si>
  <si>
    <t>114.79</t>
  </si>
  <si>
    <t>14.21</t>
  </si>
  <si>
    <t>MUEBLES DE USO GENERAL/ARMARIO/METAL</t>
  </si>
  <si>
    <t>900 MM X 350 MM X 2000 MM</t>
  </si>
  <si>
    <t>14.60</t>
  </si>
  <si>
    <t>129.89</t>
  </si>
  <si>
    <t>16.11</t>
  </si>
  <si>
    <t>EQUIPOS Y MEDIOS DE COMUNICACION/SMART TV MINIX</t>
  </si>
  <si>
    <t>1088.64</t>
  </si>
  <si>
    <t>VARIOS COMPONENTES ELECTRÓNICOS</t>
  </si>
  <si>
    <t>55 PULGADAS TV</t>
  </si>
  <si>
    <t>COMPRA DE 1 TELEVISION lg tv led 55 smart web os 3.5hdmiusbisdbtos</t>
  </si>
  <si>
    <t>141.01.04</t>
  </si>
  <si>
    <t>108.86</t>
  </si>
  <si>
    <t>279.10</t>
  </si>
  <si>
    <t>809.54</t>
  </si>
  <si>
    <t>EQUIPO DE USO GENERAL/DONGLE</t>
  </si>
  <si>
    <t>PLASTICO</t>
  </si>
  <si>
    <t>10CM</t>
  </si>
  <si>
    <t>TRANSFERENCIA GRATUITA DE EQUIPOS BIOMÉTRICOS DE PAGO (DONGLE LD-4494405AF-15636 SERIE 1205025699 Y LECTOR BIOMETRICO LD-4495374AF-16607 SERIE FP097696) CON OFICIO MEF-DA-2025-0163-O DE 10 DE JULIO DE 2025 Y ACTA SUSCRITA DE 18 DE JUNIO DE 2025</t>
  </si>
  <si>
    <t>82.96</t>
  </si>
  <si>
    <t>19.04</t>
  </si>
  <si>
    <t>EQUIPOS DE USO RECREATIVO Y DEPORTIVO/CARPA/CARPA DE 3X3</t>
  </si>
  <si>
    <t>LONA REFORZADA Y ESTRUCTURA DE METAL</t>
  </si>
  <si>
    <t>3 X 3 METROS</t>
  </si>
  <si>
    <t>INCORPBLD</t>
  </si>
  <si>
    <t>INCORPORACION DE CARPAS CO LOGOTIPO INSTITUCIONAL ADQUIRIDAS MEDIANTE FACTURA NRO. 001-001-001038 DE FECHA 03 DE COTUBRE DE 2019 MEDIANTE INFIMA CUANTA COMO PRODUCTOS DE COMUNICACIN</t>
  </si>
  <si>
    <t>33.60</t>
  </si>
  <si>
    <t>142.01</t>
  </si>
  <si>
    <t>193.99</t>
  </si>
  <si>
    <t>EQUIPOS DE OFICINA Y ADMINISTRACION/PROYECTOR</t>
  </si>
  <si>
    <t>593.60</t>
  </si>
  <si>
    <t>PLASTICO- VIDRIO - METAL</t>
  </si>
  <si>
    <t>29.7CM X 23.4 CMM X8.2CM</t>
  </si>
  <si>
    <t>COMPRA DE UN PROYECTOR EPSON S31 DE 3200 LIMENS HDMI-VGA INCLUYE MALETA DE TRANSPORTE, CONTROL DE PILAS, CABLE VGA MANUALES</t>
  </si>
  <si>
    <t>59.36</t>
  </si>
  <si>
    <t>151.39</t>
  </si>
  <si>
    <t>442.21</t>
  </si>
  <si>
    <t>EQUIPOS DE PRENSA; RADIO Y TELEVISION/FILMADORA</t>
  </si>
  <si>
    <t>1545.60</t>
  </si>
  <si>
    <t>PASTICO-VIDRIO I SILICIO-METAL</t>
  </si>
  <si>
    <t>LARGO 16 CM ANCHO 6 CM PROF 7.5 CM</t>
  </si>
  <si>
    <t>COMPRA DE UNA CAMARA FILMADORA FAX-AX53 SONY 4K, 2 DISCOS DUROS EXTERNOS DE 2TBRUGGET THUMBERBOLT, 1 PARLANTE PORTABLE SOUND LINK BOSE</t>
  </si>
  <si>
    <t>154.56</t>
  </si>
  <si>
    <t>401.97</t>
  </si>
  <si>
    <t>1143.63</t>
  </si>
  <si>
    <t>EQUIPOS DE OFICINA Y ADMINISTRACION/LECTOR BIOMETRICO</t>
  </si>
  <si>
    <t>PLASTICO- METAL</t>
  </si>
  <si>
    <t>PANTALLA DE 2.8 " 185 x 140 x 30 mm</t>
  </si>
  <si>
    <t>DONACION DE UN BIOMETRICO ZK TECO MODELO K50 POR PARTE DE CLS ELECTRONICS</t>
  </si>
  <si>
    <t>104.96</t>
  </si>
  <si>
    <t>195.04</t>
  </si>
  <si>
    <t>EQUIPOS DE OFICINA Y ADMINISTRACION/TELEFONOS/TELEFONO MOVIL</t>
  </si>
  <si>
    <t>PLASTICO Y VIDRIO</t>
  </si>
  <si>
    <t>165.3 mm de alto, 76.8 mm de ancho y 9.4 mm de gro</t>
  </si>
  <si>
    <t>DONACION CELULAR POR PARTE DE UNHCR ACNUR CONFORME ACTA DE DONACIÓN SUSCRITA SERIE 865086053575323, MODELO X3, MARCA POCO</t>
  </si>
  <si>
    <t>179.73</t>
  </si>
  <si>
    <t>70.27</t>
  </si>
  <si>
    <t>DONACION CELULAR POR PARTE DE UNHCR ACNUR CONFORME ACTA DE DONACIÓN SUSCRITA SERIE 860793056337560, MODELO X3, MARCA POCO</t>
  </si>
  <si>
    <t>DONACION CELULAR POR PARTE DE UNHCR ACNUR CONFORME ACTA DE DONACIÓN SUSCRITA SERIE 868671056270647, MODELO X3, MARCA POCO</t>
  </si>
  <si>
    <t>DONACION CELULAR POR PARTE DE UNHCR ACNUR CONFORME ACTA DE DONACIÓN SUSCRITA SERIE 860685051745625, MODELO X3, MARCA POCO</t>
  </si>
  <si>
    <t>179.11</t>
  </si>
  <si>
    <t>70.89</t>
  </si>
  <si>
    <t>DONACION CELULAR POR PARTE DE UNHCR ACNUR CONFORME ACTA DE DONACIÓN SUSCRITA SERIE 868671056268567, MODELO X3, MARCA POCO</t>
  </si>
  <si>
    <t>DONACION CELULAR POR PARTE DE UNHCR ACNUR CONFORME ACTA DE DONACIÓN SUSCRITA SERIE 860685051710942, MODELO X3, MARCA POCO</t>
  </si>
  <si>
    <t>EQUIPOS DE PRENSA; RADIO Y TELEVISION/SISTEMA DE VIDEO CONFERENCIA</t>
  </si>
  <si>
    <t>(910x164x130.5 mm)</t>
  </si>
  <si>
    <t>DONACION DE EQUIPO DE VIDEOCONFERENCIA DE MARCA CISCO ROOM KIT MINI Y MODELO CS-KIT-MINI-K9 POR PARTE DE LA OFICINA DEL ALTO COMISIONADO DE LAS NACIONES UNIDAS PARA LOS REFUGIADOS - ACNUR</t>
  </si>
  <si>
    <t>361.50</t>
  </si>
  <si>
    <t>3608.63</t>
  </si>
  <si>
    <t>6.37</t>
  </si>
  <si>
    <t>EQUIPO ELECTRONICO/DISPOSITIVO BIOMETRICO</t>
  </si>
  <si>
    <t>NEGRO Y PLATEADO</t>
  </si>
  <si>
    <t>15CM</t>
  </si>
  <si>
    <t>141.01.07</t>
  </si>
  <si>
    <t>15.70</t>
  </si>
  <si>
    <t>127.71</t>
  </si>
  <si>
    <t>29.29</t>
  </si>
  <si>
    <t>EQUIPO ELECTRONICO/COMPUTADORA PORTATIL</t>
  </si>
  <si>
    <t>1085.17</t>
  </si>
  <si>
    <t>ELECTRONICO</t>
  </si>
  <si>
    <t>108.52</t>
  </si>
  <si>
    <t>976.65</t>
  </si>
  <si>
    <t>EQUIPO ELECTRONICO/COMPUTADOR DE ESCRITORIO</t>
  </si>
  <si>
    <t>PLOMA CLARA</t>
  </si>
  <si>
    <t>184.80</t>
  </si>
  <si>
    <t>1663.20</t>
  </si>
  <si>
    <t>EQUIPO ELECTRONICO/MOUSE</t>
  </si>
  <si>
    <t>95.20</t>
  </si>
  <si>
    <t>EQUIPO ELECTRONICO/TECLADO</t>
  </si>
  <si>
    <t>9.52</t>
  </si>
  <si>
    <t>85.68</t>
  </si>
  <si>
    <t>72.80</t>
  </si>
  <si>
    <t>7.28</t>
  </si>
  <si>
    <t>65.52</t>
  </si>
  <si>
    <t>1163.68</t>
  </si>
  <si>
    <t>116.37</t>
  </si>
  <si>
    <t>1047.31</t>
  </si>
  <si>
    <t>EQUIPO ELECTRONICO/PARLANTE</t>
  </si>
  <si>
    <t>349.44</t>
  </si>
  <si>
    <t>GRIS PLOMO Y NEGRO</t>
  </si>
  <si>
    <t>34.94</t>
  </si>
  <si>
    <t>314.50</t>
  </si>
  <si>
    <t>EQUIPO ELECTRONICO/DISCOS INFORMATICOS/DISCO DURO EXTERNO</t>
  </si>
  <si>
    <t>403.20</t>
  </si>
  <si>
    <t>METAL Y ANARANJADO</t>
  </si>
  <si>
    <t>40.32</t>
  </si>
  <si>
    <t>362.88</t>
  </si>
  <si>
    <t>EQUIPO ELECTRONICO/COMPUTADOR DE ESCRITORIO INTEGRADO</t>
  </si>
  <si>
    <t>1178.24</t>
  </si>
  <si>
    <t>117.82</t>
  </si>
  <si>
    <t>1060.42</t>
  </si>
  <si>
    <t>1140.04</t>
  </si>
  <si>
    <t>1026.04</t>
  </si>
  <si>
    <t>1140.05</t>
  </si>
  <si>
    <t>114.01</t>
  </si>
  <si>
    <t>EQUIPO ELECTRONICO/SWITCH</t>
  </si>
  <si>
    <t>106.40</t>
  </si>
  <si>
    <t>957.60</t>
  </si>
  <si>
    <t>EQUIPO ELECTRONICO/UNIDAD DE ALMACENAMIENTO</t>
  </si>
  <si>
    <t>BLANCO Y GRIS</t>
  </si>
  <si>
    <t>1423.52</t>
  </si>
  <si>
    <t>142.35</t>
  </si>
  <si>
    <t>1281.17</t>
  </si>
  <si>
    <t>PLOMO |</t>
  </si>
  <si>
    <t>2356.48</t>
  </si>
  <si>
    <t>EQUIPO ELECTRONICO/IMPRESORAS/IMPRESORA MULTIFUNCIONES</t>
  </si>
  <si>
    <t>235.65</t>
  </si>
  <si>
    <t>2120.83</t>
  </si>
  <si>
    <t>MAGNESIO</t>
  </si>
  <si>
    <t>359 x 250 x 17,6 mm // 1.42 kg</t>
  </si>
  <si>
    <t>COMPRA DE 4 COMPUTADORES PORTATILES PROCESADOR I71255USSD 1TBM.2 MEMORIA RAM 16GB PANTALLA 15.6 LICENCIA WINDOWS 11 PRO INCLUYE MOCHILA MOUSE Y ADAPTADOR HDMI A VGA.</t>
  </si>
  <si>
    <t>87.40</t>
  </si>
  <si>
    <t>272.02</t>
  </si>
  <si>
    <t>601.98</t>
  </si>
  <si>
    <t>PLASTICO/METAL</t>
  </si>
  <si>
    <t>32.5 X 23 CM</t>
  </si>
  <si>
    <t>REPOSICION</t>
  </si>
  <si>
    <t>ASEGURADORA DEL SUR. REPOSICIÓN COMPUTADORA PORTÁTIL HP PROBOOK 440 G10 I7 1355U RAM 16GB SSD 1TB PANTALLA 14" SN: 5CD344724H POR SINIESTRO DE DAÑO CASO 46896 FECHA SINIESTRO 18DIC23 PÓLIZA 1168649 ACTA ENTREGA RECEPCIÓN 30012024 LUSANCOM</t>
  </si>
  <si>
    <t>122.90</t>
  </si>
  <si>
    <t>462.39</t>
  </si>
  <si>
    <t>766.61</t>
  </si>
  <si>
    <t>="DYNABOOK SATELLITE C50-K I7-1255U SSD 1TB 16 GB 15.6" LICENCIA WINDOWS 10 PRO/ SN: X3023874E"</t>
  </si>
  <si>
    <t>35.5X23 CM</t>
  </si>
  <si>
    <t>ASEGURADORA DEL SUR. REPOSICION DYNABOOK SATELLITE PRO C50K 17 COMPUTADORA PORTATIL POR SINIESTRO DE HURTO CASO 43063 FECHA DE SINIESTRO 25092023 POLIZA 1168649 LIQUIDACION 207754 ACTA ENTREGA RECEPCIÓN 29012024 PROVEEDOR REPRES MUNDIAL</t>
  </si>
  <si>
    <t>326.61</t>
  </si>
  <si>
    <t>547.39</t>
  </si>
  <si>
    <t>15 PULGADAS</t>
  </si>
  <si>
    <t>DONACIÓN DE COMPUTADORAS PORTÁTILES POR PARTE DE GIZ ACTA SUSCRITA DE 22 DE DICIEMBRE DE 2023 Y RECEPCIÓN MEDIANTE CORREO ELECTRÓNICO DE FACTURA NRO 001011000011495 FECHA 17 NOV 21 Y 000012026 FECHA 5 ABRIL 22</t>
  </si>
  <si>
    <t>688.01</t>
  </si>
  <si>
    <t>651.99</t>
  </si>
  <si>
    <t>141.50</t>
  </si>
  <si>
    <t>382.21</t>
  </si>
  <si>
    <t>1032.79</t>
  </si>
  <si>
    <t>329 mm×227 mm×17.9 mm</t>
  </si>
  <si>
    <t>DONACION LAPTOP POR PARTE DE UNHCR ACNUR CONFORME ACTA DE DONACIÓN SUSCRITA SERIE PC1A0XLE, MODELO THINKPAD T490, MARCA LENOVO</t>
  </si>
  <si>
    <t>119.40</t>
  </si>
  <si>
    <t>1081.15</t>
  </si>
  <si>
    <t>112.85</t>
  </si>
  <si>
    <t>DONACION LAPTOP POR PARTE DE UNHCR ACNUR CONFORME ACTA DE DONACIÓN SUSCRITA SERIE SPC1EWQVW, MODELO THINKPAD T490, MARCA LENOVO</t>
  </si>
  <si>
    <t>118.30</t>
  </si>
  <si>
    <t>1071.18</t>
  </si>
  <si>
    <t>111.82</t>
  </si>
  <si>
    <t>DONACION LAPTOP POR PARTE DE UNHCR ACNUR CONFORME ACTA DE DONACIÓN SUSCRITA SERIE SPC1EWQWS, MODELO THINKPAD T490, MARCA LENOVO</t>
  </si>
  <si>
    <t>1072.15</t>
  </si>
  <si>
    <t>110.85</t>
  </si>
  <si>
    <t>EQUIPO ELECTRONICO/AURICULAR</t>
  </si>
  <si>
    <t>67.50</t>
  </si>
  <si>
    <t>NEGRO Y ROJO</t>
  </si>
  <si>
    <t>155 X 32 X 178 mm</t>
  </si>
  <si>
    <t>DONACION MONITOR POR PARTE DE UNHCR ACNUR CONFORME ACTA DE DONACIÓN SUSCRITA SERIE 1D7134, MODELO BLACKWIRE 3220-C3220 USB-A MARCA PLANTRONICS</t>
  </si>
  <si>
    <t>6.75</t>
  </si>
  <si>
    <t>61.40</t>
  </si>
  <si>
    <t>6.10</t>
  </si>
  <si>
    <t>EQUIPO ELECTRONICO/MONITOR</t>
  </si>
  <si>
    <t>23,8 PULGADAS</t>
  </si>
  <si>
    <t>DONACION MONITOR POR PARTE DE UNHCR ACNUR CONFORME ACTA DE DONACIÓN SUSCRITA SERIE CNC9192TFN, MODELO ELITEDISPLAY E243D 23,8 MARCA HP</t>
  </si>
  <si>
    <t>29.80</t>
  </si>
  <si>
    <t>270.81</t>
  </si>
  <si>
    <t>27.19</t>
  </si>
  <si>
    <t>45.40</t>
  </si>
  <si>
    <t>DONACION MONITOR POR PARTE DE UNHCR ACNUR CONFORME ACTA DE DONACIÓN SUSCRITA SERIE 2V1H5V, MODELO BLACKWIRE 3220-C3220 USB-A MARCA PLANTRONICS</t>
  </si>
  <si>
    <t>4.54</t>
  </si>
  <si>
    <t>41.34</t>
  </si>
  <si>
    <t>4.06</t>
  </si>
  <si>
    <t>361mm x 240.95mm x 18.06mm</t>
  </si>
  <si>
    <t>DONACION LAPTOP (INCLUYE CARGADOR DELL NO INCLUYE DISCO DURO) POR PARTE DE OIM CONFORME ACTA DE DONACIÓN SUSCRITA SERIE DBD4CS3, MODELO LATITUDE 3520, MARCA DELL</t>
  </si>
  <si>
    <t>122.50</t>
  </si>
  <si>
    <t>1127.34</t>
  </si>
  <si>
    <t>97.66</t>
  </si>
  <si>
    <t>23.8 PULGADAS</t>
  </si>
  <si>
    <t>DONACION MONITOR POR PARTE DE UNHCR ACNUR CONFORME ACTA DE DONACIÓN SUSCRITA SERIE CNC9192T5N, MODELO ELITEDISPLAY E243D 23,8 MARCA HP</t>
  </si>
  <si>
    <t>DONACION LAPTOP POR PARTE DE UNHCR ACNUR CONFORME ACTA DE DONACIÓN SUSCRITA SERIE SPC1EWQWL, MODELO THINKPAD T490, MARCA LENOVO</t>
  </si>
  <si>
    <t>DONACION MONITOR POR PARTE DE UNHCR ACNUR CONFORME ACTA DE DONACIÓN SUSCRITA SERIE 2RAPCU, MODELO BLACKWIRE 3220-C3220 USB-A MARCA PLANTRONICS</t>
  </si>
  <si>
    <t>61.46</t>
  </si>
  <si>
    <t>6.04</t>
  </si>
  <si>
    <t>DONACION MONITOR POR PARTE DE UNHCR ACNUR CONFORME ACTA DE DONACIÓN SUSCRITA SERIE CNC9192TFD, MODELO ELITEDISPLAY E243D 23,8 MARCA HP</t>
  </si>
  <si>
    <t>216.45</t>
  </si>
  <si>
    <t>81.55</t>
  </si>
  <si>
    <t>DONACION LAPTOP (INCLUYE CARGADOR DELL NO INCLUYE DISCO DURO) POR PARTE DE OIM CONFORME ACTA DE DONACIÓN SUSCRITA SERIE CBD4CS3, MODELO LATITUDE 3520, MARCA DELL</t>
  </si>
  <si>
    <t>DONACION MONITOR POR PARTE DE UNHCR ACNUR CONFORME ACTA DE DONACIÓN SUSCRITA SERIE CNC9192TFP, MODELO ELITEDISPLAY E243D 23,8 MARCA HP</t>
  </si>
  <si>
    <t>DONACION LAPTOP (INCLUYE CARGADOR DELL NO INCLUYE DISCO DURO) POR PARTE DE OIM CONFORME ACTA DE DONACIÓN SUSCRITA SERIE 1B6ZGS3, MODELO LATITUDE 3520, MARCA DELL</t>
  </si>
  <si>
    <t>DONACION MONITOR POR PARTE DE UNHCR ACNUR CONFORME ACTA DE DONACIÓN SUSCRITA SERIE 2XAL6Y, MODELO BLACKWIRE 3220-C3220 USB-A MARCA PLANTRONICS</t>
  </si>
  <si>
    <t>39.47</t>
  </si>
  <si>
    <t>DONACION MONITOR POR PARTE DE UNHCR ACNUR CONFORME ACTA DE DONACIÓN SUSCRITA SERIE 22339X, MODELO BLACKWIRE 3220-C3220 USB-A MARCA PLANTRONICS</t>
  </si>
  <si>
    <t>3.95</t>
  </si>
  <si>
    <t>35.93</t>
  </si>
  <si>
    <t>3.54</t>
  </si>
  <si>
    <t>DONACION MONITOR POR PARTE DE UNHCR ACNUR CONFORME ACTA DE DONACIÓN SUSCRITA SERIE CNC9341VDV, MODELO ELITEDISPLAY E243D 23,8 MARCA HP</t>
  </si>
  <si>
    <t>29.70</t>
  </si>
  <si>
    <t>269.90</t>
  </si>
  <si>
    <t>27.10</t>
  </si>
  <si>
    <t>DONACION MONITOR POR PARTE DE UNHCR ACNUR CONFORME ACTA DE DONACIÓN SUSCRITA SERIE CNC9192T60, MODELO ELITEDISPLAY E243D 23,8 MARCA HP</t>
  </si>
  <si>
    <t>DONACION MONITOR POR PARTE DE UNHCR ACNUR CONFORME ACTA DE DONACIÓN SUSCRITA SERIE 2U4TBN, MODELO BLACKWIRE 3220-C3220 USB-A MARCA PLANTRONICS</t>
  </si>
  <si>
    <t>DONACION MONITOR POR PARTE DE UNHCR ACNUR CONFORME ACTA DE DONACIÓN SUSCRITA SERIE 2V1G2L, MODELO BLACKWIRE 3220-C3220 USB-A MARCA PLANTRONICS</t>
  </si>
  <si>
    <t>45.50</t>
  </si>
  <si>
    <t>DONACION MONITOR POR PARTE DE UNHCR ACNUR CONFORME ACTA DE DONACIÓN SUSCRITA SERIE 2M80Y3, MODELO BLACKWIRE 3220-C3220 USB-A MARCA PLANTRONICS</t>
  </si>
  <si>
    <t>4.55</t>
  </si>
  <si>
    <t>41.42</t>
  </si>
  <si>
    <t>4.08</t>
  </si>
  <si>
    <t>DONACION MONITOR POR PARTE DE UNHCR ACNUR CONFORME ACTA DE DONACIÓN SUSCRITA SERIE 2U5LGE, MODELO BLACKWIRE 3220-C3220 USB-A MARCA PLANTRONICS</t>
  </si>
  <si>
    <t>DONACION LAPTOP (INCLUYE CARGADOR DELL NO INCLUYE DISCO DURO) POR PARTE DE OIM CONFORME ACTA DE DONACIÓN SUSCRITA SERIE F2F4CS3, MODELO LATITUDE 3520, MARCA DELL</t>
  </si>
  <si>
    <t>DONACION MONITOR POR PARTE DE UNHCR ACNUR CONFORME ACTA DE DONACIÓN SUSCRITA SERIE CNC9341VF0, MODELO ELITEDISPLAY E243D 23,8 MARCA HP</t>
  </si>
  <si>
    <t>DONACION LAPTOP (INCLUYE CARGADOR DELL NO INCLUYE DISCO DURO) POR PARTE DE OIM CONFORME ACTA DE DONACIÓN SUSCRITA SERIE 1CD4CS3, MODELO LATITUDE 3520, MARCA DELL</t>
  </si>
  <si>
    <t>DONACION MONITOR POR PARTE DE UNHCR ACNUR CONFORME ACTA DE DONACIÓN SUSCRITA SERIE CNC9341W6W, MODELO ELITEDISPLAY E243D 23,8 MARCA HP</t>
  </si>
  <si>
    <t>213.51</t>
  </si>
  <si>
    <t>83.49</t>
  </si>
  <si>
    <t>DONACION LAPTOP POR PARTE DE UNHCR ACNUR CONFORME ACTA DE DONACIÓN SUSCRITA SERIE PC1A0XKX, MODELO THINKPAD T490, MARCA LENOVO</t>
  </si>
  <si>
    <t>DONACION MONITOR POR PARTE DE UNHCR ACNUR CONFORME ACTA DE DONACIÓN SUSCRITA SERIE CNC9341TDK, MODELO ELITEDISPLAY E243D 23,8 MARCA HP</t>
  </si>
  <si>
    <t>44.85</t>
  </si>
  <si>
    <t>DONACION MONITOR POR PARTE DE UNHCR ACNUR CONFORME ACTA DE DONACIÓN SUSCRITA SERIE 2F7MHJ, MODELO BLACKWIRE 3220-C3220 USB-A MARCA PLANTRONICS</t>
  </si>
  <si>
    <t>4.49</t>
  </si>
  <si>
    <t>40.79</t>
  </si>
  <si>
    <t>DONACION MONITOR POR PARTE DE UNHCR ACNUR CONFORME ACTA DE DONACIÓN SUSCRITA SERIE 2XAL7B, MODELO BLACKWIRE 3220-C3220 USB-A MARCA PLANTRONICS</t>
  </si>
  <si>
    <t>41.30</t>
  </si>
  <si>
    <t>4.10</t>
  </si>
  <si>
    <t>DONACION MONITOR POR PARTE DE UNHCR ACNUR CONFORME ACTA DE DONACIÓN SUSCRITA SERIE 2229F3, MODELO BLACKWIRE 3220-C3220 USB-A MARCA PLANTRONICS</t>
  </si>
  <si>
    <t>35.90</t>
  </si>
  <si>
    <t>3.57</t>
  </si>
  <si>
    <t>DONACION LAPTOP (INCLUYE CARGADOR DELL NO INCLUYE DISCO DURO) POR PARTE DE OIM CONFORME ACTA DE DONACIÓN SUSCRITA SERIE FJF4CS3, MODELO LATITUDE 3520, MARCA DELL</t>
  </si>
  <si>
    <t>DONACION MONITOR POR PARTE DE UNHCR ACNUR CONFORME ACTA DE DONACIÓN SUSCRITA SERIE 2F7PJV, MODELO BLACKWIRE 3220-C3220 USB-A MARCA PLANTRONICS</t>
  </si>
  <si>
    <t>40.83</t>
  </si>
  <si>
    <t>4.02</t>
  </si>
  <si>
    <t>DONACION LAPTOP POR PARTE DE UNHCR ACNUR CONFORME ACTA DE DONACIÓN SUSCRITA SERIE PC1A0XKT, MODELO THINKPAD T490, MARCA LENOVO</t>
  </si>
  <si>
    <t>DONACION MONITOR POR PARTE DE UNHCR ACNUR CONFORME ACTA DE DONACIÓN SUSCRITA SERIE 2V1H5U, MODELO BLACKWIRE 3220-C3220 USB-A MARCA PLANTRONICS</t>
  </si>
  <si>
    <t>DONACION MONITOR POR PARTE DE UNHCR ACNUR CONFORME ACTA DE DONACIÓN SUSCRITA SERIE 2XAL5V, MODELO BLACKWIRE 3220-C3220 USB-A MARCA PLANTRONICS</t>
  </si>
  <si>
    <t>DONACION LAPTOP POR PARTE DE UNHCR ACNUR CONFORME ACTA DE DONACIÓN SUSCRITA SERIE SPC18G353, MODELO THINKPAD T490, MARCA LENOVO</t>
  </si>
  <si>
    <t>121.30</t>
  </si>
  <si>
    <t>1098.35</t>
  </si>
  <si>
    <t>114.65</t>
  </si>
  <si>
    <t>DONACION LAPTOP (INCLUYE CARGADOR DELL NO INCLUYE DISCO DURO) POR PARTE DE OIM CONFORME ACTA DE DONACIÓN SUSCRITA SERIE FKF4CS3, MODELO LATITUDE 3520, MARCA DELL</t>
  </si>
  <si>
    <t>DONACION MONITOR POR PARTE DE UNHCR ACNUR CONFORME ACTA DE DONACIÓN SUSCRITA SERIE CNC9192TFF , MODELO ELITEDISPLAY E243D 23,8 MARCA HP</t>
  </si>
  <si>
    <t>214.24</t>
  </si>
  <si>
    <t>83.76</t>
  </si>
  <si>
    <t>DONACION MONITOR POR PARTE DE UNHCR ACNUR CONFORME ACTA DE DONACIÓN SUSCRITA SERIE 2229ER, MODELO BLACKWIRE 3220-C3220 USB-A MARCA PLANTRONICS</t>
  </si>
  <si>
    <t>DONACION MONITOR POR PARTE DE UNHCR ACNUR CONFORME ACTA DE DONACIÓN SUSCRITA SERIE CNC9341VD6, MODELO ELITEDISPLAY E243D 23,8 MARCA HP</t>
  </si>
  <si>
    <t>DONACION LAPTOP POR PARTE DE UNHCR ACNUR CONFORME ACTA DE DONACIÓN SUSCRITA SERIE SPC1EWQVZ, MODELO THINKPAD T490, MARCA LENOVO</t>
  </si>
  <si>
    <t>DONACION MONITOR POR PARTE DE UNHCR ACNUR CONFORME ACTA DE DONACIÓN SUSCRITA SERIE CNC9341W6T, MODELO ELITEDISPLAY E243D 23,8 MARCA HP</t>
  </si>
  <si>
    <t>DONACION MONITOR POR PARTE DE UNHCR ACNUR CONFORME ACTA DE DONACIÓN SUSCRITA SERIE CNC9341VDR, MODELO ELITEDISPLAY E243D 23,8 MARCA HP</t>
  </si>
  <si>
    <t>DONACION MONITOR POR PARTE DE UNHCR ACNUR CONFORME ACTA DE DONACIÓN SUSCRITA SERIE CNC9341VDC, MODELO ELITEDISPLAY E243D 23,8 MARCA HP</t>
  </si>
  <si>
    <t>DONACION MONITOR POR PARTE DE UNHCR ACNUR CONFORME ACTA DE DONACIÓN SUSCRITA SERIE CNC9192T80, MODELO ELITEDISPLAY E243D 23,8 MARCA HP</t>
  </si>
  <si>
    <t>DONACION LAPTOP (INCLUYE CARGADOR DELL NO INCLUYE DISCO DURO) POR PARTE DE OIM CONFORME ACTA DE DONACIÓN SUSCRITA SERIE B5D4CS3, MODELO LATITUDE3520, MARCA DELL</t>
  </si>
  <si>
    <t>DONACION LAPTOP (INCLUYE CARGADOR DELL NO INCLUYE DISCO DURO) POR PARTE DE OIM CONFORME ACTA DE DONACIÓN SUSCRITA SERIE D66ZGS3, MODELO LATITUDE 3520, MARCA DELL</t>
  </si>
  <si>
    <t>DONACION LAPTOP (INCLUYE CARGADOR DELL NO INCLUYE DISCO DURO) POR PARTE DE OIM CONFORME ACTA DE DONACIÓN SUSCRITA SERIE 5TD4CS3, MODELO LATITUDE 3520, MARCA DELL</t>
  </si>
  <si>
    <t>DONACION MONITOR POR PARTE DE UNHCR ACNUR CONFORME ACTA DE DONACIÓN SUSCRITA SERIE 28K11E, MODELO BLACKWIRE 3220-C3220 USB-A MARCA PLANTRONICS</t>
  </si>
  <si>
    <t>DONACION MONITOR POR PARTE DE UNHCR ACNUR CONFORME ACTA DE DONACIÓN SUSCRITA SERIE 2XAL1E, MODELO BLACKWIRE 3220-C3220 USB-A MARCA PLANTRONICS</t>
  </si>
  <si>
    <t>DONACION MONITOR POR PARTE DE UNHCR ACNUR CONFORME ACTA DE DONACIÓN SUSCRITA SERIE CNC9192T95, MODELO ELITEDISPLAY E243D 23,8 MARCA HP</t>
  </si>
  <si>
    <t>DONACION LAPTOP POR PARTE DE UNHCR ACNUR CONFORME ACTA DE DONACIÓN SUSCRITA SERIE SPC1EWQWA, MODELO THINKPAD T490, MARCA LENOVO</t>
  </si>
  <si>
    <t>DONACION MONITOR POR PARTE DE UNHCR ACNUR CONFORME ACTA DE DONACIÓN SUSCRITA SERIE CNC9341VDG, MODELO ELITEDISPLAY E243D 23,8 MARCA HP</t>
  </si>
  <si>
    <t>DONACION LAPTOP POR PARTE DE UNHCR ACNUR CONFORME ACTA DE DONACIÓN SUSCRITA SERIE PC1FST1V, MODELO THINKPAD T490, MARCA LENOVO</t>
  </si>
  <si>
    <t>113.30</t>
  </si>
  <si>
    <t>1026.84</t>
  </si>
  <si>
    <t>106.16</t>
  </si>
  <si>
    <t>DONACION MONITOR POR PARTE DE UNHCR ACNUR CONFORME ACTA DE DONACIÓN SUSCRITA SERIE CNC9192TFR, MODELO ELITEDISPLAY E243D 23,8 MARCA HP</t>
  </si>
  <si>
    <t>351.15</t>
  </si>
  <si>
    <t>BLANCA</t>
  </si>
  <si>
    <t>PLASTICA</t>
  </si>
  <si>
    <t>58.1 cm (ancho) x 46.7 cm (profundidad) x 38.6 cm</t>
  </si>
  <si>
    <t>REGISTRO DE LA COMPRA DE IMPRESORA MULTIFUNCION TINTA COLOR A3 VELOCIDAD IMPRESION DE 30 40 PPM HP OFFICEJET PRO 9730, PARA USO DEL CNIMH, PROVEEDOR SYSCOMPRINT S.A.S</t>
  </si>
  <si>
    <t>35.12</t>
  </si>
  <si>
    <t>327.48</t>
  </si>
  <si>
    <t>23.67</t>
  </si>
  <si>
    <t>EQUIPO ELECTRONICO/SCANNER</t>
  </si>
  <si>
    <t>30 x 17.2 x 15.4 cm (ancho x profundidad x alto)</t>
  </si>
  <si>
    <t>INGRESO DE LA COMPRA DE HP SCANJET PRO 3000 S4.- VELOCIDAD SIMPLE 40-49PPM, PARA USO DEL CNIMH AL PROVEEDOR TECHCOMPUTER</t>
  </si>
  <si>
    <t>270.69</t>
  </si>
  <si>
    <t>19.31</t>
  </si>
  <si>
    <t>PARTES Y REPUESTOS/TECLADO INHALAMBRICO</t>
  </si>
  <si>
    <t>25.50</t>
  </si>
  <si>
    <t>43,55 cm x 13,75 cm x 20,5mm</t>
  </si>
  <si>
    <t>DONACION COMBO TECLADO Y MOUSE INALAMBRICOS POR PARTE DE UNHCR ACNUR CONFORME ACTA DE DONACIÓN SUSCRITA SERIE 2010MR364F58 , MODELO K235 MARCA LOGITECH</t>
  </si>
  <si>
    <t>141.01.11</t>
  </si>
  <si>
    <t>2.55</t>
  </si>
  <si>
    <t>6.41</t>
  </si>
  <si>
    <t>DONACION COMBO TECLADO Y MOUSE INALAMBRICOS POR PARTE DE UNHCR ACNUR CONFORME ACTA DE DONACIÓN SUSCRITA SERIE 2025MR1C9458, MODELO K235 MARCA LOGITECH</t>
  </si>
  <si>
    <t>DONACION COMBO TECLADO Y MOUSE INALAMBRICOS POR PARTE DE UNHCR ACNUR CONFORME ACTA DE DONACIÓN SUSCRITA SERIE 2012MR2B1E18, MODELO K235 MARCA LOGITECH</t>
  </si>
  <si>
    <t>DONACION COMBO TECLADO Y MOUSE INALAMBRICOS POR PARTE DE UNHCR ACNUR CONFORME ACTA DE DONACIÓN SUSCRITA SERIE 2025MR1C95F8 , MODELO K235 MARCA LOGITECH</t>
  </si>
  <si>
    <t>DONACION COMBO TECLADO Y MOUSE INALAMBRICOS POR PARTE DE UNHCR ACNUR CONFORME ACTA DE DONACIÓN SUSCRITA SERIE 2025MR1C9438, MODELO K235 MARCA LOGITECH</t>
  </si>
  <si>
    <t>DONACION COMBO TECLADO Y MOUSE INALAMBRICOS POR PARTE DE UNHCR ACNUR CONFORME ACTA DE DONACIÓN SUSCRITA SERIE 2012MR2B1D48, MODELO K235 MARCA LOGITECH</t>
  </si>
  <si>
    <t>DONACION COMBO TECLADO Y MOUSE INALAMBRICOS POR PARTE DE UNHCR ACNUR CONFORME ACTA DE DONACIÓN SUSCRITA SERIE 2012MR2B1B88, MODELO K235 MARCA LOGITECH</t>
  </si>
  <si>
    <t>19.15</t>
  </si>
  <si>
    <t>6.35</t>
  </si>
  <si>
    <t>DONACION COMBO TECLADO Y MOUSE INALAMBRICOS POR PARTE DE UNHCR ACNUR CONFORME ACTA DE DONACIÓN SUSCRITA SERIE 2025MR1C8C78, MODELO K235 MARCA LOGITECH</t>
  </si>
  <si>
    <t>DONACION COMBO TECLADO Y MOUSE INALAMBRICOS POR PARTE DE UNHCR ACNUR CONFORME ACTA DE DONACIÓN SUSCRITA SERIE 2025MR1C9628, MODELO K235 MARCA LOGITECH</t>
  </si>
  <si>
    <t>DONACION COMBO TECLADO Y MOUSE INALAMBRICOS POR PARTE DE UNHCR ACNUR CONFORME ACTA DE DONACIÓN SUSCRITA SERIE 2056MR1C8D38, MODELO K235 MARCA LOGITECH</t>
  </si>
  <si>
    <t>DONACION COMBO TECLADO Y MOUSE INALAMBRICOS POR PARTE DE UNHCR ACNUR CONFORME ACTA DE DONACIÓN SUSCRITA SERIE 2010MR368ED8, MODELO K235 MARCA LOGITECH</t>
  </si>
  <si>
    <t>DONACION COMBO TECLADO Y MOUSE INALAMBRICOS POR PARTE DE UNHCR ACNUR CONFORME ACTA DE DONACIÓN SUSCRITA SERIE 2010MR368738, MODELO K235 MARCA LOGITECH</t>
  </si>
  <si>
    <t>DONACION COMBO TECLADO Y MOUSE INALAMBRICOS POR PARTE DE UNHCR ACNUR CONFORME ACTA DE DONACIÓN SUSCRITA SERIE 2012MR2B1E08, MODELO K235 MARCA LOGITECH</t>
  </si>
  <si>
    <t>DONACION COMBO TECLADO Y MOUSE INALAMBRICOS POR PARTE DE UNHCR ACNUR CONFORME ACTA DE DONACIÓN SUSCRITA SERIE 2010MR369968 , MODELO K235 MARCA LOGITECH</t>
  </si>
  <si>
    <t>DONACION COMBO TECLADO Y MOUSE INALAMBRICOS POR PARTE DE UNHCR ACNUR CONFORME ACTA DE DONACIÓN SUSCRITA SERIE 2012MR2B48F8, MODELO K235 MARCA LOGITECH</t>
  </si>
  <si>
    <t>DONACION COMBO TECLADO Y MOUSE INALAMBRICOS POR PARTE DE UNHCR ACNUR CONFORME ACTA DE DONACIÓN SUSCRITA SERIE 2025MR1C8DB8, MODELO K235 MARCA LOGITECH</t>
  </si>
  <si>
    <t>DONACION COMBO TECLADO Y MOUSE INALAMBRICOS POR PARTE DE UNHCR ACNUR CONFORME ACTA DE DONACIÓN SUSCRITA SERIE 2025MR1C8DD8, MODELO K235 MARCA LOGITECH</t>
  </si>
  <si>
    <t>DONACION COMBO TECLADO Y MOUSE INALAMBRICOS POR PARTE DE UNHCR ACNUR CONFORME ACTA DE DONACIÓN SUSCRITA SERIE 2012MR2B1D28, MODELO K235 MARCA LOGITECH</t>
  </si>
  <si>
    <t>Suma de Valor Contable</t>
  </si>
  <si>
    <t>Etiquetas de fila</t>
  </si>
  <si>
    <t>Total general</t>
  </si>
  <si>
    <t>S/N</t>
  </si>
  <si>
    <t>6662A</t>
  </si>
  <si>
    <t>WEIFENG</t>
  </si>
  <si>
    <t>S/N.</t>
  </si>
  <si>
    <t>BY-WM4 PRO</t>
  </si>
  <si>
    <t>BOYA</t>
  </si>
  <si>
    <t>BY2009860280</t>
  </si>
  <si>
    <t>LAVALIER BY-M1</t>
  </si>
  <si>
    <t>BY2009864595</t>
  </si>
  <si>
    <t>302073006547</t>
  </si>
  <si>
    <t>REBEL SL3</t>
  </si>
  <si>
    <t>CANON</t>
  </si>
  <si>
    <t>865086053575323</t>
  </si>
  <si>
    <t>X3</t>
  </si>
  <si>
    <t>POCO</t>
  </si>
  <si>
    <t>860793056337560</t>
  </si>
  <si>
    <t>868671056270647</t>
  </si>
  <si>
    <t>860685051745625</t>
  </si>
  <si>
    <t>868671056268567</t>
  </si>
  <si>
    <t>40565429</t>
  </si>
  <si>
    <t>PC1A0XLE</t>
  </si>
  <si>
    <t>THINKPAD T490</t>
  </si>
  <si>
    <t>LENOVO</t>
  </si>
  <si>
    <t>SPC1EWQVW</t>
  </si>
  <si>
    <t>SPC1EWQWS</t>
  </si>
  <si>
    <t>1D7134</t>
  </si>
  <si>
    <t>BLACKWIRE 3220-C3220 USB-A</t>
  </si>
  <si>
    <t>PLANTRONICS</t>
  </si>
  <si>
    <t>CNC9192TFN</t>
  </si>
  <si>
    <t>ELITEDISPLAY E243d 23,8</t>
  </si>
  <si>
    <t>HP</t>
  </si>
  <si>
    <t>2V1H5V</t>
  </si>
  <si>
    <t>DBD4CS3</t>
  </si>
  <si>
    <t>LATITUDE 3520</t>
  </si>
  <si>
    <t>DELL</t>
  </si>
  <si>
    <t>CNC9192T5N</t>
  </si>
  <si>
    <t>ELITEDISPLAY E243D 23,8</t>
  </si>
  <si>
    <t>SPC1EWQWL</t>
  </si>
  <si>
    <t>2RAPCU</t>
  </si>
  <si>
    <t>CNC9192TFD</t>
  </si>
  <si>
    <t>CBD4CS3</t>
  </si>
  <si>
    <t>CNC9192TFP</t>
  </si>
  <si>
    <t>1B6ZGS3</t>
  </si>
  <si>
    <t>2XAL6Y</t>
  </si>
  <si>
    <t>22339X</t>
  </si>
  <si>
    <t>CNC9341VDV</t>
  </si>
  <si>
    <t>CNC9192T60</t>
  </si>
  <si>
    <t>2U4TBN</t>
  </si>
  <si>
    <t>2V1G2L</t>
  </si>
  <si>
    <t>2M80Y3</t>
  </si>
  <si>
    <t>2U5LGE</t>
  </si>
  <si>
    <t>F2F4CS3</t>
  </si>
  <si>
    <t>CNC9341VF0</t>
  </si>
  <si>
    <t>1CD4CS3</t>
  </si>
  <si>
    <t>CNC9341W6W</t>
  </si>
  <si>
    <t>PC1A0XKX</t>
  </si>
  <si>
    <t>CNC9341TDK</t>
  </si>
  <si>
    <t>2F7MHJ</t>
  </si>
  <si>
    <t>2XAL7B</t>
  </si>
  <si>
    <t>2229F3</t>
  </si>
  <si>
    <t>FJF4CS3</t>
  </si>
  <si>
    <t>2F7PJV</t>
  </si>
  <si>
    <t>PC1A0XKT</t>
  </si>
  <si>
    <t>2V1H5U</t>
  </si>
  <si>
    <t>2XAL5V</t>
  </si>
  <si>
    <t>SPC18G353</t>
  </si>
  <si>
    <t>FKF4CS3</t>
  </si>
  <si>
    <t>CNC9192TFF</t>
  </si>
  <si>
    <t>2229ER</t>
  </si>
  <si>
    <t>CNC9341VD6</t>
  </si>
  <si>
    <t>SPC1EWQVZ</t>
  </si>
  <si>
    <t>CNC9341W6T</t>
  </si>
  <si>
    <t>CNC9341VDR</t>
  </si>
  <si>
    <t>CNC9341VDC</t>
  </si>
  <si>
    <t>CNC9192T80</t>
  </si>
  <si>
    <t>B5D4CS3</t>
  </si>
  <si>
    <t>D66ZGS3</t>
  </si>
  <si>
    <t>5TD4CS3</t>
  </si>
  <si>
    <t>28K11E</t>
  </si>
  <si>
    <t>2XAL1E</t>
  </si>
  <si>
    <t>CNC9192T95</t>
  </si>
  <si>
    <t>SPC1EWQWA</t>
  </si>
  <si>
    <t>CNC9341VDG</t>
  </si>
  <si>
    <t>PC1FST1V</t>
  </si>
  <si>
    <t>CNC9192TFR</t>
  </si>
  <si>
    <t>2010MR364F58</t>
  </si>
  <si>
    <t>K235</t>
  </si>
  <si>
    <t>LOGITECH</t>
  </si>
  <si>
    <t>2025MR1C9458</t>
  </si>
  <si>
    <t>2012MR2B1E18</t>
  </si>
  <si>
    <t>2025MR1C95F8</t>
  </si>
  <si>
    <t>2025MR1C9438</t>
  </si>
  <si>
    <t>2012MR2B1D48</t>
  </si>
  <si>
    <t>2012MR2B1B88</t>
  </si>
  <si>
    <t>2025MR1C8C78</t>
  </si>
  <si>
    <t>2025MR1C9628</t>
  </si>
  <si>
    <t>2056MR1C8D38</t>
  </si>
  <si>
    <t>2010MR368ED8</t>
  </si>
  <si>
    <t>2010MR368738</t>
  </si>
  <si>
    <t>2012MR2B1E08</t>
  </si>
  <si>
    <t>2010MR369968</t>
  </si>
  <si>
    <t>2012MR2B48F8</t>
  </si>
  <si>
    <t>2025MR1C8DB8</t>
  </si>
  <si>
    <t>2025MR1C8DD8</t>
  </si>
  <si>
    <t>2012MR2B1D28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</si>
</sst>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0.00_ ;_ &quot;$&quot;* \-#,##0.00_ ;_ &quot;$&quot;* &quot;-&quot;??_ ;_ @_ "/>
  </numFmts>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2"/>
      <color rgb="FFFFFFFF"/>
      <name val="Aptos Narrow"/>
      <family val="2"/>
      <scheme val="minor"/>
    </font>
    <font>
      <b/>
      <sz val="11"/>
      <color rgb="FFFFFFFF"/>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19FDE"/>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s>
  <cellStyleXfs count="43">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0">
    <xf numFmtId="0" fontId="0" fillId="0" borderId="0" xfId="0"/>
    <xf numFmtId="0" fontId="16" fillId="33" borderId="0" xfId="0" applyFont="1" applyFill="1"/>
    <xf numFmtId="0" fontId="19" fillId="33" borderId="0" xfId="0" applyFont="1" applyFill="1" applyAlignment="1">
      <alignment horizontal="center"/>
    </xf>
    <xf numFmtId="0" fontId="19" fillId="33" borderId="10" xfId="0" applyFont="1" applyFill="1" applyBorder="1" applyAlignment="1">
      <alignment horizontal="center" wrapText="1"/>
    </xf>
    <xf numFmtId="0" fontId="0" fillId="0" borderId="10" xfId="0" applyBorder="1" applyAlignment="1">
      <alignment wrapText="1"/>
    </xf>
    <xf numFmtId="22" fontId="0" fillId="0" borderId="10" xfId="0" applyNumberFormat="1" applyBorder="1" applyAlignment="1">
      <alignment wrapText="1"/>
    </xf>
    <xf numFmtId="14" fontId="0" fillId="0" borderId="10" xfId="0" applyNumberFormat="1" applyBorder="1" applyAlignment="1">
      <alignment wrapText="1"/>
    </xf>
    <xf numFmtId="0" fontId="16" fillId="33" borderId="14" xfId="0" applyFont="1" applyFill="1" applyBorder="1"/>
    <xf numFmtId="0" fontId="16" fillId="33" borderId="15" xfId="0" applyFont="1" applyFill="1" applyBorder="1"/>
    <xf numFmtId="44" fontId="0" fillId="0" borderId="10" xfId="1" applyFont="1" applyBorder="1" applyAlignment="1">
      <alignment wrapText="1"/>
    </xf>
    <xf numFmtId="44" fontId="0" fillId="0" borderId="0" xfId="0" applyNumberFormat="1"/>
    <xf numFmtId="0" fontId="0" fillId="0" borderId="0" xfId="0" pivotButton="1"/>
    <xf numFmtId="0" fontId="0" fillId="0" borderId="0" xfId="0" applyAlignment="1">
      <alignment horizontal="left"/>
    </xf>
    <xf numFmtId="44" fontId="0" fillId="0" borderId="10" xfId="1" applyFont="1" applyBorder="1" applyAlignment="1">
      <alignment horizontal="center" wrapText="1"/>
    </xf>
    <xf numFmtId="0" fontId="19" fillId="33" borderId="10" xfId="0" applyFont="1" applyFill="1" applyBorder="1" applyAlignment="1">
      <alignment horizontal="center" vertical="center" wrapText="1"/>
    </xf>
    <xf numFmtId="0" fontId="0" fillId="0" borderId="10" xfId="0" applyBorder="1" applyAlignment="1">
      <alignment horizontal="left" vertical="center" wrapText="1"/>
    </xf>
    <xf numFmtId="44" fontId="0" fillId="0" borderId="10" xfId="1" applyFont="1" applyBorder="1" applyAlignment="1">
      <alignment horizontal="left" vertical="center" wrapText="1"/>
    </xf>
    <xf numFmtId="0" fontId="18" fillId="33" borderId="11" xfId="0" applyFont="1" applyFill="1" applyBorder="1" applyAlignment="1">
      <alignment horizontal="center" wrapText="1"/>
    </xf>
    <xf numFmtId="0" fontId="18" fillId="33" borderId="12" xfId="0" applyFont="1" applyFill="1" applyBorder="1" applyAlignment="1">
      <alignment horizontal="center" wrapText="1"/>
    </xf>
    <xf numFmtId="0" fontId="18" fillId="33" borderId="13" xfId="0" applyFont="1" applyFill="1" applyBorder="1" applyAlignment="1">
      <alignment horizontal="center" wrapText="1"/>
    </xf>
  </cellXfs>
  <cellStyles count="43">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Incorrecto" xfId="8" builtinId="27" customBuiltin="1"/>
    <cellStyle name="Moneda" xfId="1" builtinId="4"/>
    <cellStyle name="Neutral" xfId="9" builtinId="28" customBuiltin="1"/>
    <cellStyle name="Normal" xfId="0" builtinId="0"/>
    <cellStyle name="Notas" xfId="16" builtinId="10" customBuiltin="1"/>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ffre Flores" refreshedDate="46108.526418171299" createdVersion="8" refreshedVersion="8" minRefreshableVersion="3" recordCount="237" xr:uid="{278EF1FE-A3A0-4269-A567-170001B9E4A0}">
  <cacheSource type="worksheet">
    <worksheetSource ref="A2:AT239" sheet="Reporte_Muebles_27_03_2026  (2)"/>
  </cacheSource>
  <cacheFields count="46">
    <cacheField name="Código del Bien" numFmtId="0">
      <sharedItems containsSemiMixedTypes="0" containsString="0" containsNumber="1" containsInteger="1" minValue="19573954" maxValue="41027642"/>
    </cacheField>
    <cacheField name="Código Anterior" numFmtId="0">
      <sharedItems/>
    </cacheField>
    <cacheField name="Identificador" numFmtId="0">
      <sharedItems/>
    </cacheField>
    <cacheField name="Nro de Acta/ Nro de Matriz" numFmtId="0">
      <sharedItems containsSemiMixedTypes="0" containsString="0" containsNumber="1" containsInteger="1" minValue="1" maxValue="425297"/>
    </cacheField>
    <cacheField name="(BLD) o (BCA)" numFmtId="0">
      <sharedItems/>
    </cacheField>
    <cacheField name="Bien" numFmtId="0">
      <sharedItems/>
    </cacheField>
    <cacheField name="Serie/ Identificación" numFmtId="0">
      <sharedItems/>
    </cacheField>
    <cacheField name="Modelo/ Características" numFmtId="0">
      <sharedItems/>
    </cacheField>
    <cacheField name="Marca/ Otros" numFmtId="0">
      <sharedItems/>
    </cacheField>
    <cacheField name="Crítico" numFmtId="0">
      <sharedItems containsBlank="1"/>
    </cacheField>
    <cacheField name="Moneda" numFmtId="0">
      <sharedItems containsNonDate="0" containsString="0" containsBlank="1"/>
    </cacheField>
    <cacheField name="Valor de Compra" numFmtId="44">
      <sharedItems containsSemiMixedTypes="0" containsString="0" containsNumber="1" minValue="22.98" maxValue="3615"/>
    </cacheField>
    <cacheField name="Recompra" numFmtId="0">
      <sharedItems containsBlank="1"/>
    </cacheField>
    <cacheField name="Color" numFmtId="0">
      <sharedItems/>
    </cacheField>
    <cacheField name="Material" numFmtId="0">
      <sharedItems containsBlank="1"/>
    </cacheField>
    <cacheField name="Dimensiones" numFmtId="0">
      <sharedItems/>
    </cacheField>
    <cacheField name="Condición del Bien" numFmtId="0">
      <sharedItems/>
    </cacheField>
    <cacheField name="Habilitado" numFmtId="0">
      <sharedItems/>
    </cacheField>
    <cacheField name="Estado Bien" numFmtId="0">
      <sharedItems/>
    </cacheField>
    <cacheField name="Id Bodega" numFmtId="0">
      <sharedItems containsSemiMixedTypes="0" containsString="0" containsNumber="1" containsInteger="1" minValue="6" maxValue="6"/>
    </cacheField>
    <cacheField name="Bodega" numFmtId="0">
      <sharedItems/>
    </cacheField>
    <cacheField name="Id Ubicación" numFmtId="0">
      <sharedItems containsSemiMixedTypes="0" containsString="0" containsNumber="1" containsInteger="1" minValue="97459" maxValue="97459"/>
    </cacheField>
    <cacheField name="Ubicación de Bodega" numFmtId="0">
      <sharedItems/>
    </cacheField>
    <cacheField name="Nro de Cédula/ RUC" numFmtId="0">
      <sharedItems containsSemiMixedTypes="0" containsString="0" containsNumber="1" containsInteger="1" minValue="102936168" maxValue="1726517327"/>
    </cacheField>
    <cacheField name="Custodio Actual" numFmtId="0">
      <sharedItems/>
    </cacheField>
    <cacheField name="Custodio Activo" numFmtId="0">
      <sharedItems/>
    </cacheField>
    <cacheField name="Origen del Ingreso" numFmtId="0">
      <sharedItems/>
    </cacheField>
    <cacheField name="Tipo de Ingreso" numFmtId="0">
      <sharedItems/>
    </cacheField>
    <cacheField name="Nro de Compromiso" numFmtId="0">
      <sharedItems containsMixedTypes="1" containsNumber="1" containsInteger="1" minValue="365" maxValue="592"/>
    </cacheField>
    <cacheField name="Estado del Acta" numFmtId="0">
      <sharedItems/>
    </cacheField>
    <cacheField name="Contabilizado del Acta" numFmtId="0">
      <sharedItems/>
    </cacheField>
    <cacheField name="Contabilizado del Bien" numFmtId="0">
      <sharedItems/>
    </cacheField>
    <cacheField name="Descripción" numFmtId="0">
      <sharedItems/>
    </cacheField>
    <cacheField name="Item/ Renglón" numFmtId="0">
      <sharedItems containsSemiMixedTypes="0" containsString="0" containsNumber="1" containsInteger="1" minValue="0" maxValue="840107"/>
    </cacheField>
    <cacheField name="Cuenta Contable" numFmtId="0">
      <sharedItems count="5">
        <s v="911.17.00"/>
        <s v="141.01.03"/>
        <s v="141.01.04"/>
        <s v="141.01.07"/>
        <s v="141.01.11"/>
      </sharedItems>
    </cacheField>
    <cacheField name="Depreciable" numFmtId="0">
      <sharedItems/>
    </cacheField>
    <cacheField name="Fecha de Creación" numFmtId="22">
      <sharedItems containsSemiMixedTypes="0" containsNonDate="0" containsDate="1" containsString="0" minDate="2017-11-16T00:00:00" maxDate="2026-02-25T00:00:00"/>
    </cacheField>
    <cacheField name="Fecha de Ingreso" numFmtId="14">
      <sharedItems containsSemiMixedTypes="0" containsNonDate="0" containsDate="1" containsString="0" minDate="1999-12-23T00:00:00" maxDate="2026-02-25T00:00:00"/>
    </cacheField>
    <cacheField name="Fecha Última Depreciación" numFmtId="0">
      <sharedItems containsNonDate="0" containsDate="1" containsString="0" containsBlank="1" minDate="2009-12-19T00:00:00" maxDate="2026-03-01T00:00:00"/>
    </cacheField>
    <cacheField name="Vida Útil" numFmtId="0">
      <sharedItems containsSemiMixedTypes="0" containsString="0" containsNumber="1" containsInteger="1" minValue="0" maxValue="10"/>
    </cacheField>
    <cacheField name="Fecha Término Depreciación" numFmtId="0">
      <sharedItems containsNonDate="0" containsDate="1" containsString="0" containsBlank="1" minDate="2009-12-19T00:00:00" maxDate="2034-12-07T00:00:00"/>
    </cacheField>
    <cacheField name="Valor Contable" numFmtId="44">
      <sharedItems containsSemiMixedTypes="0" containsString="0" containsNumber="1" minValue="22.98" maxValue="3615"/>
    </cacheField>
    <cacheField name="Valor Residual" numFmtId="44">
      <sharedItems containsSemiMixedTypes="0" containsString="0" containsNumber="1" minValue="0" maxValue="361.5"/>
    </cacheField>
    <cacheField name="Valor en Libros" numFmtId="44">
      <sharedItems containsSemiMixedTypes="0" containsString="0" containsNumber="1" minValue="7.28" maxValue="3608.63"/>
    </cacheField>
    <cacheField name="Valor Depreciación Acumulada" numFmtId="44">
      <sharedItems containsSemiMixedTypes="0" containsString="0" containsNumber="1" minValue="0" maxValue="2120.83"/>
    </cacheField>
    <cacheField name="Comodat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7">
  <r>
    <n v="24309157"/>
    <s v=""/>
    <s v="170800470001"/>
    <n v="4"/>
    <s v="BCA"/>
    <s v="BIENES SUJETOS A CONTROL/BANDERA NACIONAL"/>
    <s v="24309157"/>
    <s v="BANDERA INSTITUCIONAL CON ASTA MADERA / TERMINADO FORRADAS CON FLECO AL RUEDO Y CINTAS PARA SUJETA"/>
    <s v="TERCIOPELO SHIFON CON ESCUDO BORDADO A MANO A UNA SOLA CARA CON HILO DE SEDA Y DORADOS METALIZADOS"/>
    <s v="N"/>
    <m/>
    <n v="377.44"/>
    <s v="N"/>
    <s v="BLANCO"/>
    <s v="TERCIOPELO SHIFON"/>
    <s v="1,30 METROS X 1.00 METROS ASTA DE 2.25 METROS DE A"/>
    <s v="BUENO"/>
    <s v="S"/>
    <s v="APROBADO"/>
    <n v="6"/>
    <s v="PLATAFORMA GUBERNAMENTAL NORTE PISO 7 TORRE VERDE BODEGA DE INVENTARIOS"/>
    <n v="97459"/>
    <s v="PLATAFORMA GUBERNAMENTAL NORTE"/>
    <n v="102936168"/>
    <s v="DUTAN TAMAYO HUGO ERNESTO"/>
    <s v="S"/>
    <s v="COMPRA"/>
    <s v="ACTA"/>
    <n v="365"/>
    <s v="LEGALIZADO"/>
    <s v="S"/>
    <s v="S"/>
    <s v="ADQUISICION DE 2 BANDERAS CON SUS RESPECTIVAS ASTAS 1 BANDERA DEL ECUADOR, 1 BANDERA INSTITUCIONAL"/>
    <n v="531408"/>
    <x v="0"/>
    <s v="N"/>
    <d v="2018-08-16T00:00:00"/>
    <d v="2018-08-22T00:00:00"/>
    <d v="2018-08-22T00:00:00"/>
    <n v="0"/>
    <m/>
    <n v="377.44"/>
    <n v="0"/>
    <n v="377.44"/>
    <n v="0"/>
    <s v="N"/>
  </r>
  <r>
    <n v="24309158"/>
    <s v=""/>
    <s v="170800470001"/>
    <n v="4"/>
    <s v="BCA"/>
    <s v="BIENES SUJETOS A CONTROL/BANDERA NACIONAL"/>
    <s v="24309158"/>
    <s v="BANDERA NACIONAL CON SU ASTA RESPECTIVA / TERMINADO FORRADAS CON FLECO AL RUEDO Y CINTAS PARA SUJETA"/>
    <s v="TERCIOPELO SHIFON CON ESCUDO BORDADO A MANO A UNA SOLA CARA CON HILO DE SEDA Y DORADOS METALIZADOS"/>
    <s v="N"/>
    <m/>
    <n v="377.44"/>
    <s v="N"/>
    <s v="BANDERA TRICOLOR AMARILLO, AZUL Y ROJO"/>
    <s v="TERCIOPELO SHIFON"/>
    <s v="1,30 METROS X 1,00 METROS"/>
    <s v="BUENO"/>
    <s v="S"/>
    <s v="APROBADO"/>
    <n v="6"/>
    <s v="PLATAFORMA GUBERNAMENTAL NORTE PISO 7 TORRE VERDE BODEGA DE INVENTARIOS"/>
    <n v="97459"/>
    <s v="PLATAFORMA GUBERNAMENTAL NORTE"/>
    <n v="102936168"/>
    <s v="DUTAN TAMAYO HUGO ERNESTO"/>
    <s v="S"/>
    <s v="COMPRA"/>
    <s v="ACTA"/>
    <n v="365"/>
    <s v="LEGALIZADO"/>
    <s v="S"/>
    <s v="S"/>
    <s v="ADQUISICION DE 2 BANDERAS CON SUS RESPECTIVAS ASTAS 1 BANDERA DEL ECUADOR, 1 BANDERA INSTITUCIONAL"/>
    <n v="531408"/>
    <x v="0"/>
    <s v="N"/>
    <d v="2018-08-16T00:00:00"/>
    <d v="2018-08-22T00:00:00"/>
    <d v="2018-08-22T00:00:00"/>
    <n v="0"/>
    <m/>
    <n v="377.44"/>
    <n v="0"/>
    <n v="377.44"/>
    <n v="0"/>
    <s v="N"/>
  </r>
  <r>
    <n v="20852983"/>
    <s v=""/>
    <s v="170400540001"/>
    <n v="1"/>
    <s v="BCA"/>
    <s v="BIENES SUJETOS A CONTROL/ESPIRALADORA"/>
    <s v="20852983"/>
    <s v="ESPIRALADORA METALICA 2109"/>
    <s v="IMGRAF"/>
    <s v="N"/>
    <m/>
    <n v="120"/>
    <s v="N"/>
    <s v="PLOMO"/>
    <s v="METAL"/>
    <s v="38 CM DE ANCHO POR 11 CM DE ALTO"/>
    <s v="BUENO"/>
    <s v="S"/>
    <s v="APROBADO"/>
    <n v="6"/>
    <s v="PLATAFORMA GUBERNAMENTAL NORTE PISO 7 TORRE VERDE BODEGA DE INVENTARIOS"/>
    <n v="97459"/>
    <s v="PLATAFORMA GUBERNAMENTAL NORTE"/>
    <n v="1717662512"/>
    <s v="FLORES FLORES JOFFRE FABIAN"/>
    <s v="S"/>
    <s v="REG ESIGEF"/>
    <s v="ACTA"/>
    <s v="No Aplica"/>
    <s v="LEGALIZADO"/>
    <s v="S"/>
    <s v="S"/>
    <s v="COMPRA DE UNA ESPIRALADORA METALICA Y UNA GUILLOTINA A4"/>
    <n v="0"/>
    <x v="0"/>
    <s v="N"/>
    <d v="2018-01-31T00:00:00"/>
    <d v="2017-12-13T00:00:00"/>
    <m/>
    <n v="0"/>
    <m/>
    <n v="120"/>
    <n v="0"/>
    <n v="120"/>
    <n v="0"/>
    <s v="N"/>
  </r>
  <r>
    <n v="20852984"/>
    <s v=""/>
    <s v="170400640001"/>
    <n v="1"/>
    <s v="BCA"/>
    <s v="BIENES SUJETOS A CONTROL/GUILLOTINA"/>
    <s v="20852984"/>
    <s v="GUILLOTINA TAMAÑO A4"/>
    <s v="PAPER CUTTER"/>
    <s v="N"/>
    <m/>
    <n v="29"/>
    <s v="N"/>
    <s v="BEAGE /NEGRO"/>
    <s v="BASE METALICA / PALANCA"/>
    <s v="25.5 CMM ANCHO Y 33 CM DE LARGO"/>
    <s v="BUENO"/>
    <s v="S"/>
    <s v="APROBADO"/>
    <n v="6"/>
    <s v="PLATAFORMA GUBERNAMENTAL NORTE PISO 7 TORRE VERDE BODEGA DE INVENTARIOS"/>
    <n v="97459"/>
    <s v="PLATAFORMA GUBERNAMENTAL NORTE"/>
    <n v="1717662512"/>
    <s v="FLORES FLORES JOFFRE FABIAN"/>
    <s v="S"/>
    <s v="REG ESIGEF"/>
    <s v="ACTA"/>
    <s v="No Aplica"/>
    <s v="LEGALIZADO"/>
    <s v="S"/>
    <s v="S"/>
    <s v="COMPRA DE UNA ESPIRALADORA METALICA Y UNA GUILLOTINA A4"/>
    <n v="0"/>
    <x v="0"/>
    <s v="N"/>
    <d v="2018-01-31T00:00:00"/>
    <d v="2017-12-13T00:00:00"/>
    <m/>
    <n v="0"/>
    <m/>
    <n v="29"/>
    <n v="0"/>
    <n v="29"/>
    <n v="0"/>
    <s v="N"/>
  </r>
  <r>
    <n v="29027941"/>
    <s v=""/>
    <s v="170700200001"/>
    <n v="5"/>
    <s v="BCA"/>
    <s v="BIENES SUJETOS A CONTROL/TECLADO"/>
    <s v="29027941"/>
    <s v="TECLADO + MOUSE INALAMBRICOS CON BATERIAS /2.4 GHZ CON NANO RECEPTOR USB"/>
    <s v="LOGITECH MK WIRELES / PROTOCOLO NO UNIFYING CON RADIO DE ACCION DE 10 METROS"/>
    <s v="N"/>
    <m/>
    <n v="38.6"/>
    <s v="N"/>
    <s v="PLOMO RATON"/>
    <s v="PLASTICO,GOMA Y METAL"/>
    <s v="TECLADO : L: 43 CM A: 12.5 CM Y H: 1.5CM MOUSE:COM"/>
    <s v="BUENO"/>
    <s v="S"/>
    <s v="APROBADO"/>
    <n v="6"/>
    <s v="PLATAFORMA GUBERNAMENTAL NORTE PISO 7 TORRE VERDE BODEGA DE INVENTARIOS"/>
    <n v="97459"/>
    <s v="PLATAFORMA GUBERNAMENTAL NORTE"/>
    <n v="1717662512"/>
    <s v="FLORES FLORES JOFFRE FABIAN"/>
    <s v="S"/>
    <s v="COMPRA"/>
    <s v="ACTA"/>
    <n v="587"/>
    <s v="LEGALIZADO"/>
    <s v="S"/>
    <s v="S"/>
    <s v="ADQUISICIN DE 11 TECLADOS MOUSE LOGITECH MK WIRELESS SEGUN SOLICITUD EN MEMORANDO NRO. CNIMH-DAF-2019-0366-MEMO Y MEMORANDO NRO. CNIMH-DAF-2019-0367 SEGUN FACTURA NRO. 001-001-000002561"/>
    <n v="531407"/>
    <x v="0"/>
    <s v="N"/>
    <d v="2019-10-15T00:00:00"/>
    <d v="2019-10-30T00:00:00"/>
    <d v="2019-10-30T00:00:00"/>
    <n v="0"/>
    <m/>
    <n v="38.6"/>
    <n v="0"/>
    <n v="38.6"/>
    <n v="0"/>
    <s v="N"/>
  </r>
  <r>
    <n v="29027942"/>
    <s v=""/>
    <s v="170700200001"/>
    <n v="5"/>
    <s v="BCA"/>
    <s v="BIENES SUJETOS A CONTROL/TECLADO"/>
    <s v="29027942"/>
    <s v="TECLADO + MOUSE INALAMBRICOS CON BATERIAS /2.4 GHZ CON NANO RECEPTOR USB"/>
    <s v="LOGITECH MK WIRELES / PROTOCOLO NO UNIFYING CON RADIO DE ACCION DE 10 METROS"/>
    <s v="N"/>
    <m/>
    <n v="38.57"/>
    <s v="N"/>
    <s v="PLOMO RATON"/>
    <s v="PLASTICO,GOMA Y METAL"/>
    <s v="TECLADO : L: 43 CM A: 12.5 CM Y H: 1.5CM MOUSE:COM"/>
    <s v="BUENO"/>
    <s v="S"/>
    <s v="APROBADO"/>
    <n v="6"/>
    <s v="PLATAFORMA GUBERNAMENTAL NORTE PISO 7 TORRE VERDE BODEGA DE INVENTARIOS"/>
    <n v="97459"/>
    <s v="PLATAFORMA GUBERNAMENTAL NORTE"/>
    <n v="1717662512"/>
    <s v="FLORES FLORES JOFFRE FABIAN"/>
    <s v="S"/>
    <s v="COMPRA"/>
    <s v="ACTA"/>
    <n v="587"/>
    <s v="LEGALIZADO"/>
    <s v="S"/>
    <s v="S"/>
    <s v="ADQUISICIN DE 11 TECLADOS MOUSE LOGITECH MK WIRELESS SEGUN SOLICITUD EN MEMORANDO NRO. CNIMH-DAF-2019-0366-MEMO Y MEMORANDO NRO. CNIMH-DAF-2019-0367 SEGUN FACTURA NRO. 001-001-000002561"/>
    <n v="531407"/>
    <x v="0"/>
    <s v="N"/>
    <d v="2019-10-15T00:00:00"/>
    <d v="2019-10-30T00:00:00"/>
    <d v="2019-10-30T00:00:00"/>
    <n v="0"/>
    <m/>
    <n v="38.57"/>
    <n v="0"/>
    <n v="38.57"/>
    <n v="0"/>
    <s v="N"/>
  </r>
  <r>
    <n v="29027943"/>
    <s v=""/>
    <s v="170700200001"/>
    <n v="5"/>
    <s v="BCA"/>
    <s v="BIENES SUJETOS A CONTROL/TECLADO"/>
    <s v="29027943"/>
    <s v="TECLADO + MOUSE INALAMBRICOS CON BATERIAS /2.4 GHZ CON NANO RECEPTOR USB"/>
    <s v="LOGITECH MK WIRELES / PROTOCOLO NO UNIFYING CON RADIO DE ACCION DE 10 METROS"/>
    <s v="N"/>
    <m/>
    <n v="38.57"/>
    <s v="N"/>
    <s v="PLOMO RATON"/>
    <s v="PLASTICO,GOMA Y METAL"/>
    <s v="TECLADO : L: 43 CM A: 12.5 CM Y H: 1.5CM MOUSE:COM"/>
    <s v="BUENO"/>
    <s v="S"/>
    <s v="APROBADO"/>
    <n v="6"/>
    <s v="PLATAFORMA GUBERNAMENTAL NORTE PISO 7 TORRE VERDE BODEGA DE INVENTARIOS"/>
    <n v="97459"/>
    <s v="PLATAFORMA GUBERNAMENTAL NORTE"/>
    <n v="1716349814"/>
    <s v="RICAURTE MOSQUERA JOSHUA FELIPE"/>
    <s v="S"/>
    <s v="COMPRA"/>
    <s v="ACTA"/>
    <n v="587"/>
    <s v="LEGALIZADO"/>
    <s v="S"/>
    <s v="S"/>
    <s v="ADQUISICIN DE 11 TECLADOS MOUSE LOGITECH MK WIRELESS SEGUN SOLICITUD EN MEMORANDO NRO. CNIMH-DAF-2019-0366-MEMO Y MEMORANDO NRO. CNIMH-DAF-2019-0367 SEGUN FACTURA NRO. 001-001-000002561"/>
    <n v="531407"/>
    <x v="0"/>
    <s v="N"/>
    <d v="2019-10-15T00:00:00"/>
    <d v="2019-10-30T00:00:00"/>
    <d v="2019-10-30T00:00:00"/>
    <n v="0"/>
    <m/>
    <n v="38.57"/>
    <n v="0"/>
    <n v="38.57"/>
    <n v="0"/>
    <s v="N"/>
  </r>
  <r>
    <n v="29027944"/>
    <s v=""/>
    <s v="170700200001"/>
    <n v="5"/>
    <s v="BCA"/>
    <s v="BIENES SUJETOS A CONTROL/TECLADO"/>
    <s v="29027944"/>
    <s v="TECLADO + MOUSE INALAMBRICOS CON BATERIAS /2.4 GHZ CON NANO RECEPTOR USB"/>
    <s v="LOGITECH MK WIRELES / PROTOCOLO NO UNIFYING CON RADIO DE ACCION DE 10 METROS"/>
    <s v="N"/>
    <m/>
    <n v="38.57"/>
    <s v="N"/>
    <s v="PLOMO RATON"/>
    <s v="PLASTICO,GOMA Y METAL"/>
    <s v="TECLADO : L: 43 CM A: 12.5 CM Y H: 1.5CM MOUSE:COM"/>
    <s v="BUENO"/>
    <s v="S"/>
    <s v="APROBADO"/>
    <n v="6"/>
    <s v="PLATAFORMA GUBERNAMENTAL NORTE PISO 7 TORRE VERDE BODEGA DE INVENTARIOS"/>
    <n v="97459"/>
    <s v="PLATAFORMA GUBERNAMENTAL NORTE"/>
    <n v="1709459232"/>
    <s v="PALACIOS CORONEL DIANA ALEXANDRA"/>
    <s v="S"/>
    <s v="COMPRA"/>
    <s v="ACTA"/>
    <n v="587"/>
    <s v="LEGALIZADO"/>
    <s v="S"/>
    <s v="S"/>
    <s v="ADQUISICIN DE 11 TECLADOS MOUSE LOGITECH MK WIRELESS SEGUN SOLICITUD EN MEMORANDO NRO. CNIMH-DAF-2019-0366-MEMO Y MEMORANDO NRO. CNIMH-DAF-2019-0367 SEGUN FACTURA NRO. 001-001-000002561"/>
    <n v="531407"/>
    <x v="0"/>
    <s v="N"/>
    <d v="2019-10-15T00:00:00"/>
    <d v="2019-10-30T00:00:00"/>
    <d v="2019-10-30T00:00:00"/>
    <n v="0"/>
    <m/>
    <n v="38.57"/>
    <n v="0"/>
    <n v="38.57"/>
    <n v="0"/>
    <s v="N"/>
  </r>
  <r>
    <n v="29027945"/>
    <s v=""/>
    <s v="170700200001"/>
    <n v="5"/>
    <s v="BCA"/>
    <s v="BIENES SUJETOS A CONTROL/TECLADO"/>
    <s v="29027945"/>
    <s v="TECLADO + MOUSE INALAMBRICOS CON BATERIAS /2.4 GHZ CON NANO RECEPTOR USB"/>
    <s v="LOGITECH MK WIRELES / PROTOCOLO NO UNIFYING CON RADIO DE ACCION DE 10 METROS"/>
    <s v="N"/>
    <m/>
    <n v="38.57"/>
    <s v="N"/>
    <s v="PLOMO RATON"/>
    <s v="PLASTICO,GOMA Y METAL"/>
    <s v="TECLADO : L: 43 CM A: 12.5 CM Y H: 1.5CM MOUSE:COM"/>
    <s v="BUENO"/>
    <s v="S"/>
    <s v="APROBADO"/>
    <n v="6"/>
    <s v="PLATAFORMA GUBERNAMENTAL NORTE PISO 7 TORRE VERDE BODEGA DE INVENTARIOS"/>
    <n v="97459"/>
    <s v="PLATAFORMA GUBERNAMENTAL NORTE"/>
    <n v="1717662512"/>
    <s v="FLORES FLORES JOFFRE FABIAN"/>
    <s v="S"/>
    <s v="COMPRA"/>
    <s v="ACTA"/>
    <n v="587"/>
    <s v="LEGALIZADO"/>
    <s v="S"/>
    <s v="S"/>
    <s v="ADQUISICIN DE 11 TECLADOS MOUSE LOGITECH MK WIRELESS SEGUN SOLICITUD EN MEMORANDO NRO. CNIMH-DAF-2019-0366-MEMO Y MEMORANDO NRO. CNIMH-DAF-2019-0367 SEGUN FACTURA NRO. 001-001-000002561"/>
    <n v="531407"/>
    <x v="0"/>
    <s v="N"/>
    <d v="2019-10-15T00:00:00"/>
    <d v="2019-10-30T00:00:00"/>
    <d v="2019-10-30T00:00:00"/>
    <n v="0"/>
    <m/>
    <n v="38.57"/>
    <n v="0"/>
    <n v="38.57"/>
    <n v="0"/>
    <s v="N"/>
  </r>
  <r>
    <n v="29027946"/>
    <s v=""/>
    <s v="170700200001"/>
    <n v="5"/>
    <s v="BCA"/>
    <s v="BIENES SUJETOS A CONTROL/TECLADO"/>
    <s v="29027946"/>
    <s v="TECLADO + MOUSE INALAMBRICOS CON BATERIAS /2.4 GHZ CON NANO RECEPTOR USB"/>
    <s v="LOGITECH MK WIRELES / PROTOCOLO NO UNIFYING CON RADIO DE ACCION DE 10 METROS"/>
    <s v="N"/>
    <m/>
    <n v="38.57"/>
    <s v="N"/>
    <s v="PLOMO RATON"/>
    <s v="PLASTICO,GOMA Y METAL"/>
    <s v="TECLADO : L: 43 CM A: 12.5 CM Y H: 1.5CM MOUSE:COM"/>
    <s v="BUENO"/>
    <s v="S"/>
    <s v="APROBADO"/>
    <n v="6"/>
    <s v="PLATAFORMA GUBERNAMENTAL NORTE PISO 7 TORRE VERDE BODEGA DE INVENTARIOS"/>
    <n v="97459"/>
    <s v="PLATAFORMA GUBERNAMENTAL NORTE"/>
    <n v="1717662512"/>
    <s v="FLORES FLORES JOFFRE FABIAN"/>
    <s v="S"/>
    <s v="COMPRA"/>
    <s v="ACTA"/>
    <n v="587"/>
    <s v="LEGALIZADO"/>
    <s v="S"/>
    <s v="S"/>
    <s v="ADQUISICIN DE 11 TECLADOS MOUSE LOGITECH MK WIRELESS SEGUN SOLICITUD EN MEMORANDO NRO. CNIMH-DAF-2019-0366-MEMO Y MEMORANDO NRO. CNIMH-DAF-2019-0367 SEGUN FACTURA NRO. 001-001-000002561"/>
    <n v="531407"/>
    <x v="0"/>
    <s v="N"/>
    <d v="2019-10-15T00:00:00"/>
    <d v="2019-10-22T00:00:00"/>
    <m/>
    <n v="0"/>
    <m/>
    <n v="38.57"/>
    <n v="0"/>
    <n v="38.57"/>
    <n v="0"/>
    <s v="N"/>
  </r>
  <r>
    <n v="29027947"/>
    <s v=""/>
    <s v="170700200001"/>
    <n v="5"/>
    <s v="BCA"/>
    <s v="BIENES SUJETOS A CONTROL/TECLADO"/>
    <s v="29027947"/>
    <s v="TECLADO + MOUSE INALAMBRICOS CON BATERIAS /2.4 GHZ CON NANO RECEPTOR USB"/>
    <s v="LOGITECH MK WIRELES / PROTOCOLO NO UNIFYING CON RADIO DE ACCION DE 10 METROS"/>
    <s v="N"/>
    <m/>
    <n v="38.57"/>
    <s v="N"/>
    <s v="PLOMO RATON"/>
    <s v="PLASTICO,GOMA Y METAL"/>
    <s v="TECLADO : L: 43 CM A: 12.5 CM Y H: 1.5CM MOUSE:COM"/>
    <s v="BUENO"/>
    <s v="S"/>
    <s v="APROBADO"/>
    <n v="6"/>
    <s v="PLATAFORMA GUBERNAMENTAL NORTE PISO 7 TORRE VERDE BODEGA DE INVENTARIOS"/>
    <n v="97459"/>
    <s v="PLATAFORMA GUBERNAMENTAL NORTE"/>
    <n v="1717662512"/>
    <s v="FLORES FLORES JOFFRE FABIAN"/>
    <s v="S"/>
    <s v="COMPRA"/>
    <s v="ACTA"/>
    <n v="587"/>
    <s v="LEGALIZADO"/>
    <s v="S"/>
    <s v="S"/>
    <s v="ADQUISICIN DE 11 TECLADOS MOUSE LOGITECH MK WIRELESS SEGUN SOLICITUD EN MEMORANDO NRO. CNIMH-DAF-2019-0366-MEMO Y MEMORANDO NRO. CNIMH-DAF-2019-0367 SEGUN FACTURA NRO. 001-001-000002561"/>
    <n v="531407"/>
    <x v="0"/>
    <s v="N"/>
    <d v="2019-10-15T00:00:00"/>
    <d v="2019-10-30T00:00:00"/>
    <d v="2019-10-30T00:00:00"/>
    <n v="0"/>
    <m/>
    <n v="38.57"/>
    <n v="0"/>
    <n v="38.57"/>
    <n v="0"/>
    <s v="N"/>
  </r>
  <r>
    <n v="29027948"/>
    <s v=""/>
    <s v="170700200001"/>
    <n v="5"/>
    <s v="BCA"/>
    <s v="BIENES SUJETOS A CONTROL/TECLADO"/>
    <s v="29027948"/>
    <s v="TECLADO + MOUSE INALAMBRICOS CON BATERIAS /2.4 GHZ CON NANO RECEPTOR USB"/>
    <s v="LOGITECH MK WIRELES / PROTOCOLO NO UNIFYING CON RADIO DE ACCION DE 10 METROS"/>
    <s v="N"/>
    <m/>
    <n v="38.57"/>
    <s v="N"/>
    <s v="PLOMO RATON"/>
    <s v="PLASTICO,GOMA Y METAL"/>
    <s v="ECLADO : L: 43 CM A: 12.5 CM Y H: 1.5CM MOUSE:COM"/>
    <s v="BUENO"/>
    <s v="S"/>
    <s v="APROBADO"/>
    <n v="6"/>
    <s v="PLATAFORMA GUBERNAMENTAL NORTE PISO 7 TORRE VERDE BODEGA DE INVENTARIOS"/>
    <n v="97459"/>
    <s v="PLATAFORMA GUBERNAMENTAL NORTE"/>
    <n v="1717662512"/>
    <s v="FLORES FLORES JOFFRE FABIAN"/>
    <s v="S"/>
    <s v="COMPRA"/>
    <s v="ACTA"/>
    <n v="587"/>
    <s v="LEGALIZADO"/>
    <s v="S"/>
    <s v="S"/>
    <s v="ADQUISICIN DE 11 TECLADOS MOUSE LOGITECH MK WIRELESS SEGUN SOLICITUD EN MEMORANDO NRO. CNIMH-DAF-2019-0366-MEMO Y MEMORANDO NRO. CNIMH-DAF-2019-0367 SEGUN FACTURA NRO. 001-001-000002561"/>
    <n v="531407"/>
    <x v="0"/>
    <s v="N"/>
    <d v="2019-10-15T00:00:00"/>
    <d v="2019-10-30T00:00:00"/>
    <d v="2019-10-30T00:00:00"/>
    <n v="0"/>
    <m/>
    <n v="38.57"/>
    <n v="0"/>
    <n v="38.57"/>
    <n v="0"/>
    <s v="N"/>
  </r>
  <r>
    <n v="29027949"/>
    <s v=""/>
    <s v="170700200001"/>
    <n v="5"/>
    <s v="BCA"/>
    <s v="BIENES SUJETOS A CONTROL/TECLADO"/>
    <s v="29027949"/>
    <s v="TECLADO + MOUSE INALAMBRICOS CON BATERIAS /2.4 GHZ CON NANO RECEPTOR USB"/>
    <s v="LOGITECH MK WIRELES / PROTOCOLO NO UNIFYING CON RADIO DE ACCION DE 10 METROS"/>
    <s v="N"/>
    <m/>
    <n v="38.57"/>
    <s v="N"/>
    <s v="PLOMO RATON"/>
    <s v="PLASTICO,GOMA Y METAL"/>
    <s v="TECLADO : L: 43 CM A: 12.5 CM Y H: 1.5CM MOUSE:COM"/>
    <s v="BUENO"/>
    <s v="S"/>
    <s v="APROBADO"/>
    <n v="6"/>
    <s v="PLATAFORMA GUBERNAMENTAL NORTE PISO 7 TORRE VERDE BODEGA DE INVENTARIOS"/>
    <n v="97459"/>
    <s v="PLATAFORMA GUBERNAMENTAL NORTE"/>
    <n v="1714641105"/>
    <s v="RODRIGUEZ LOPEZ DAVID RAFAEL"/>
    <s v="S"/>
    <s v="COMPRA"/>
    <s v="ACTA"/>
    <n v="587"/>
    <s v="LEGALIZADO"/>
    <s v="S"/>
    <s v="S"/>
    <s v="ADQUISICIN DE 11 TECLADOS MOUSE LOGITECH MK WIRELESS SEGUN SOLICITUD EN MEMORANDO NRO. CNIMH-DAF-2019-0366-MEMO Y MEMORANDO NRO. CNIMH-DAF-2019-0367 SEGUN FACTURA NRO. 001-001-000002561"/>
    <n v="531407"/>
    <x v="0"/>
    <s v="N"/>
    <d v="2019-10-15T00:00:00"/>
    <d v="2019-10-30T00:00:00"/>
    <d v="2019-10-30T00:00:00"/>
    <n v="0"/>
    <m/>
    <n v="38.57"/>
    <n v="0"/>
    <n v="38.57"/>
    <n v="0"/>
    <s v="N"/>
  </r>
  <r>
    <n v="29027950"/>
    <s v=""/>
    <s v="170700200001"/>
    <n v="5"/>
    <s v="BCA"/>
    <s v="BIENES SUJETOS A CONTROL/TECLADO"/>
    <s v="29027950"/>
    <s v="TECLADO + MOUSE INALAMBRICOS CON BATERIAS /2.4 GHZ CON NANO RECEPTOR USB"/>
    <s v="LOGITECH MK WIRELES / PROTOCOLO NO UNIFYING CON RADIO DE ACCION DE 10 METROS"/>
    <s v="N"/>
    <m/>
    <n v="38.57"/>
    <s v="N"/>
    <s v="PLOMO RATON"/>
    <s v="PLASTICO,GOMA Y METAL"/>
    <s v="TECLADO : L: 43 CM A: 12.5 CM Y H: 1.5CM MOUSE:COM"/>
    <s v="BUENO"/>
    <s v="S"/>
    <s v="APROBADO"/>
    <n v="6"/>
    <s v="PLATAFORMA GUBERNAMENTAL NORTE PISO 7 TORRE VERDE BODEGA DE INVENTARIOS"/>
    <n v="97459"/>
    <s v="PLATAFORMA GUBERNAMENTAL NORTE"/>
    <n v="1717662512"/>
    <s v="FLORES FLORES JOFFRE FABIAN"/>
    <s v="S"/>
    <s v="COMPRA"/>
    <s v="ACTA"/>
    <n v="587"/>
    <s v="LEGALIZADO"/>
    <s v="S"/>
    <s v="S"/>
    <s v="ADQUISICIN DE 11 TECLADOS MOUSE LOGITECH MK WIRELESS SEGUN SOLICITUD EN MEMORANDO NRO. CNIMH-DAF-2019-0366-MEMO Y MEMORANDO NRO. CNIMH-DAF-2019-0367 SEGUN FACTURA NRO. 001-001-000002561"/>
    <n v="531407"/>
    <x v="0"/>
    <s v="N"/>
    <d v="2019-10-15T00:00:00"/>
    <d v="2019-10-30T00:00:00"/>
    <d v="2019-10-30T00:00:00"/>
    <n v="0"/>
    <m/>
    <n v="38.57"/>
    <n v="0"/>
    <n v="38.57"/>
    <n v="0"/>
    <s v="N"/>
  </r>
  <r>
    <n v="29027951"/>
    <s v=""/>
    <s v="170700200001"/>
    <n v="5"/>
    <s v="BCA"/>
    <s v="BIENES SUJETOS A CONTROL/TECLADO"/>
    <s v="29027951"/>
    <s v="TECLADO + MOUSE INALAMBRICOS CON BATERIAS /2.4 GHZ CON NANO RECEPTOR USB"/>
    <s v="LOGITECH MK WIRELES / PROTOCOLO NO UNIFYING CON RADIO DE ACCION DE 10 METROS"/>
    <s v="N"/>
    <m/>
    <n v="38.57"/>
    <s v="N"/>
    <s v="PLOMO RATON"/>
    <s v="PLASTICO,GOMA Y METAL"/>
    <s v="TECLADO : L: 43 CM A: 12.5 CM Y H: 1.5CM MOUSE:COM"/>
    <s v="BUENO"/>
    <s v="S"/>
    <s v="APROBADO"/>
    <n v="6"/>
    <s v="PLATAFORMA GUBERNAMENTAL NORTE PISO 7 TORRE VERDE BODEGA DE INVENTARIOS"/>
    <n v="97459"/>
    <s v="PLATAFORMA GUBERNAMENTAL NORTE"/>
    <n v="1717662512"/>
    <s v="FLORES FLORES JOFFRE FABIAN"/>
    <s v="S"/>
    <s v="COMPRA"/>
    <s v="ACTA"/>
    <n v="587"/>
    <s v="LEGALIZADO"/>
    <s v="S"/>
    <s v="S"/>
    <s v="ADQUISICIN DE 11 TECLADOS MOUSE LOGITECH MK WIRELESS SEGUN SOLICITUD EN MEMORANDO NRO. CNIMH-DAF-2019-0366-MEMO Y MEMORANDO NRO. CNIMH-DAF-2019-0367 SEGUN FACTURA NRO. 001-001-000002561"/>
    <n v="531407"/>
    <x v="0"/>
    <s v="N"/>
    <d v="2019-10-15T00:00:00"/>
    <d v="2019-10-30T00:00:00"/>
    <d v="2019-10-30T00:00:00"/>
    <n v="0"/>
    <m/>
    <n v="38.57"/>
    <n v="0"/>
    <n v="38.57"/>
    <n v="0"/>
    <s v="N"/>
  </r>
  <r>
    <n v="30555843"/>
    <s v=""/>
    <s v="170300990001"/>
    <n v="4"/>
    <s v="BCA"/>
    <s v="BIENES SUJETOS A CONTROL/CORCHOGRAFO"/>
    <s v="30555843"/>
    <s v="SIN MODELO/ RECATNGULAR /TABLERO DE CORCHO"/>
    <s v="SIN MARCA/ COLOR CAFÉ"/>
    <s v="N"/>
    <m/>
    <n v="56.26"/>
    <s v="N"/>
    <s v="CAFÉ"/>
    <s v="PLANCHA DE CORCHO Y PERFIL DE ALUIMINIO"/>
    <s v="LARGO: 1.20 METROS ALTO 0.80 CM"/>
    <s v="BUENO"/>
    <s v="S"/>
    <s v="APROBADO"/>
    <n v="6"/>
    <s v="PLATAFORMA GUBERNAMENTAL NORTE PISO 7 TORRE VERDE BODEGA DE INVENTARIOS"/>
    <n v="97459"/>
    <s v="PLATAFORMA GUBERNAMENTAL NORTE"/>
    <n v="1003429584"/>
    <s v="ALVAREZ COBA ELVA TATIANA"/>
    <s v="S"/>
    <s v="INCORPORA1"/>
    <s v="ACTA"/>
    <s v="No Aplica"/>
    <s v="LEGALIZADO"/>
    <s v="S"/>
    <s v="S"/>
    <s v="INCORPORACION DE DOS TABLEROS DE CORCHO SEGUN INFORME TECNICO NRO. 002-DAF-CNIMH-2020, DEBIDO A QUE SE ENCONTRABA EN OTRO ITEM PRESUPUESTARIO, EL CUAL SE ADQUIRIO CON FACTURA NRO.001-001-0000000675 DE FECHA 09 DE DICIEMBRE DE 2019"/>
    <n v="0"/>
    <x v="0"/>
    <s v="N"/>
    <d v="2020-03-03T00:00:00"/>
    <d v="2019-12-09T00:00:00"/>
    <m/>
    <n v="0"/>
    <m/>
    <n v="56.26"/>
    <n v="0"/>
    <n v="56.26"/>
    <n v="0"/>
    <s v="N"/>
  </r>
  <r>
    <n v="30555844"/>
    <s v=""/>
    <s v="170300990001"/>
    <n v="4"/>
    <s v="BCA"/>
    <s v="BIENES SUJETOS A CONTROL/CORCHOGRAFO"/>
    <s v="30555844"/>
    <s v="SIN MODELO/ RECATNGULAR /TABLERO DE CORCHO "/>
    <s v="SIN MARCA/ COLOR CAFE "/>
    <s v="N"/>
    <m/>
    <n v="56.26"/>
    <s v="N"/>
    <s v="CAFE"/>
    <s v="PLANCHA DE CORCHO Y PERFIL DE ALUIMINIO"/>
    <s v="LARGO: 1.20 METROS ALTO 0.80 CM"/>
    <s v="BUENO"/>
    <s v="S"/>
    <s v="APROBADO"/>
    <n v="6"/>
    <s v="PLATAFORMA GUBERNAMENTAL NORTE PISO 7 TORRE VERDE BODEGA DE INVENTARIOS"/>
    <n v="97459"/>
    <s v="PLATAFORMA GUBERNAMENTAL NORTE"/>
    <n v="102936168"/>
    <s v="DUTAN TAMAYO HUGO ERNESTO"/>
    <s v="S"/>
    <s v="INCORPORA1"/>
    <s v="ACTA"/>
    <s v="No Aplica"/>
    <s v="LEGALIZADO"/>
    <s v="S"/>
    <s v="S"/>
    <s v="INCORPORACION DE DOS TABLEROS DE CORCHO SEGUN INFORME TECNICO NRO. 002-DAF-CNIMH-2020, DEBIDO A QUE SE ENCONTRABA EN OTRO ITEM PRESUPUESTARIO, EL CUAL SE ADQUIRIO CON FACTURA NRO.001-001-0000000675 DE FECHA 09 DE DICIEMBRE DE 2019"/>
    <n v="0"/>
    <x v="0"/>
    <s v="N"/>
    <d v="2020-03-03T00:00:00"/>
    <d v="2019-12-09T00:00:00"/>
    <m/>
    <n v="0"/>
    <m/>
    <n v="56.26"/>
    <n v="0"/>
    <n v="56.26"/>
    <n v="0"/>
    <s v="N"/>
  </r>
  <r>
    <n v="30297154"/>
    <s v=""/>
    <s v="170400940001"/>
    <n v="7"/>
    <s v="BCA"/>
    <s v="BIENES SUJETOS A CONTROL/CAFETERA"/>
    <s v="30297154"/>
    <s v="CAFETERA 40515/ 42 TAZAS / PESO: 1 kilo y 815 gramos."/>
    <s v="HAMILTON BEACH / 47,2 x 29,2 x 29,2 cm. (Alto x Largo x Ancho)."/>
    <s v="N"/>
    <m/>
    <n v="64"/>
    <s v="N"/>
    <s v="NEGRO Y PLOMO"/>
    <s v="ACERO INOXIDABLE Y PLASTICO"/>
    <s v="47,2 x 29,2 x 29,2 cm. (Alto x Largo x Ancho)."/>
    <s v="BUENO"/>
    <s v="S"/>
    <s v="APROBADO"/>
    <n v="6"/>
    <s v="PLATAFORMA GUBERNAMENTAL NORTE PISO 7 TORRE VERDE BODEGA DE INVENTARIOS"/>
    <n v="97459"/>
    <s v="PLATAFORMA GUBERNAMENTAL NORTE"/>
    <n v="1717662512"/>
    <s v="FLORES FLORES JOFFRE FABIAN"/>
    <s v="S"/>
    <s v="INCORPORA1"/>
    <s v="ACTA"/>
    <s v="No Aplica"/>
    <s v="LEGALIZADO"/>
    <s v="S"/>
    <s v="S"/>
    <s v="INCORPORACION DE UNA CAFETERA QUE SE ENCONTRABA EN LA CUENTA DE EXISTENCIAS MENAJE DE COCINA DE HOGAR ACCESORIOS DESCARTABLES Y ACCESORIOS DE OFICINA Y SE REQUIERE RECLASIFICARLA COMO UN BIEN DE CONTROL SEGUN INFORME TECNICO N002-DAF-CNIMH-2019"/>
    <n v="0"/>
    <x v="0"/>
    <s v="N"/>
    <d v="2019-12-23T00:00:00"/>
    <d v="2017-07-10T00:00:00"/>
    <m/>
    <n v="0"/>
    <m/>
    <n v="64"/>
    <n v="0"/>
    <n v="64"/>
    <n v="0"/>
    <s v="N"/>
  </r>
  <r>
    <n v="30301684"/>
    <s v=""/>
    <s v="170300510001"/>
    <n v="8"/>
    <s v="BCA"/>
    <s v="BIENES SUJETOS A CONTROL/PIZARRA"/>
    <s v="30301684"/>
    <s v="PIZARRA LIQUIDA CON POEDESTAL 200 CMM X 120CMM "/>
    <s v="S/M "/>
    <s v="N"/>
    <m/>
    <n v="129.96"/>
    <s v="N"/>
    <s v="BLANCO CON PLOMO"/>
    <s v="Porcelanizado tipo fórmica, Perfil de aluminio,"/>
    <s v="200CM X 120 CM"/>
    <s v="BUENO"/>
    <s v="S"/>
    <s v="APROBADO"/>
    <n v="6"/>
    <s v="PLATAFORMA GUBERNAMENTAL NORTE PISO 7 TORRE VERDE BODEGA DE INVENTARIOS"/>
    <n v="97459"/>
    <s v="PLATAFORMA GUBERNAMENTAL NORTE"/>
    <n v="1719443135"/>
    <s v="CARRILLO CHUQUITARCO DIEGO FERNANDO"/>
    <s v="S"/>
    <s v="INCORPORA1"/>
    <s v="ACTA"/>
    <s v="No Aplica"/>
    <s v="LEGALIZADO"/>
    <s v="S"/>
    <s v="S"/>
    <s v="INCORPORACION DE BIEN DE CONTROL ADMINISTRATIVO DEBIDO A QUE SE ENCONTRABA EN LA PARTIDA DE EXISTENCIAS DE SUMINISTROS DE OFICINA PARA LO CUAL SE REALIZA EL INFORME TECNICO NRO 003 PARA JUSTIFICAR LA RECLASIFICACION DEL BIEN"/>
    <n v="0"/>
    <x v="0"/>
    <s v="N"/>
    <d v="2019-12-24T00:00:00"/>
    <d v="2017-05-23T00:00:00"/>
    <m/>
    <n v="0"/>
    <m/>
    <n v="129.96"/>
    <n v="0"/>
    <n v="129.96"/>
    <n v="0"/>
    <s v="N"/>
  </r>
  <r>
    <n v="40589932"/>
    <s v=""/>
    <s v="170400960001"/>
    <n v="92"/>
    <s v="BCA"/>
    <s v="BIENES SUJETOS A CONTROL/TRIPODE PARA CAMARA"/>
    <s v="S/N"/>
    <s v="6662A"/>
    <s v="WEIFENG"/>
    <m/>
    <m/>
    <n v="55.55"/>
    <m/>
    <s v="NEGRO"/>
    <s v="METAL Y PLASTICO"/>
    <s v="172 CM"/>
    <s v="BUENO"/>
    <s v="S"/>
    <s v="APROBADO"/>
    <n v="6"/>
    <s v="PLATAFORMA GUBERNAMENTAL NORTE PISO 7 TORRE VERDE BODEGA DE INVENTARIOS"/>
    <n v="97459"/>
    <s v="PLATAFORMA GUBERNAMENTAL NORTE"/>
    <n v="1717662512"/>
    <s v="FLORES FLORES JOFFRE FABIAN"/>
    <s v="S"/>
    <s v="DONACION"/>
    <s v="ACTA"/>
    <s v="No Aplica"/>
    <s v="LEGALIZADO"/>
    <s v="S"/>
    <s v="S"/>
    <s v="DONACION TRIPODE POR PARTE DE UNHCR ACNUR CONFORME ACTA DE DONACIÓN SUSCRITA SERIE S/N, MODELO 6662A MARCA WEIFENG"/>
    <n v="0"/>
    <x v="0"/>
    <s v="N"/>
    <d v="2025-11-12T00:00:00"/>
    <d v="2025-11-12T00:00:00"/>
    <m/>
    <n v="0"/>
    <m/>
    <n v="55.55"/>
    <n v="0"/>
    <n v="55.55"/>
    <n v="0"/>
    <s v="N"/>
  </r>
  <r>
    <n v="40590659"/>
    <s v=""/>
    <s v="170400700001"/>
    <n v="95"/>
    <s v="BCA"/>
    <s v="BIENES SUJETOS A CONTROL/MICROFONO"/>
    <s v="S/N."/>
    <s v="BY-WM4 PRO"/>
    <s v="BOYA"/>
    <m/>
    <m/>
    <n v="138"/>
    <m/>
    <s v="NEGRO"/>
    <s v="METAL Y PLASTICO"/>
    <s v="45 x 70 x 35 mm"/>
    <s v="BUENO"/>
    <s v="S"/>
    <s v="APROBADO"/>
    <n v="6"/>
    <s v="PLATAFORMA GUBERNAMENTAL NORTE PISO 7 TORRE VERDE BODEGA DE INVENTARIOS"/>
    <n v="97459"/>
    <s v="PLATAFORMA GUBERNAMENTAL NORTE"/>
    <n v="1717662512"/>
    <s v="FLORES FLORES JOFFRE FABIAN"/>
    <s v="S"/>
    <s v="DONACION"/>
    <s v="ACTA"/>
    <s v="No Aplica"/>
    <s v="LEGALIZADO"/>
    <s v="S"/>
    <s v="S"/>
    <s v="DONACION MICROFONO INALAMBRICO POR PARTE DE UNHCR ACNUR CONFORME ACTA DE DONACIÓN SUSCRITA SERIE S/N, MODELO BY-WM4 PRO MARCA BOYA"/>
    <n v="0"/>
    <x v="0"/>
    <s v="N"/>
    <d v="2025-11-12T00:00:00"/>
    <d v="2025-11-12T00:00:00"/>
    <m/>
    <n v="0"/>
    <m/>
    <n v="138"/>
    <n v="0"/>
    <n v="138"/>
    <n v="0"/>
    <s v="N"/>
  </r>
  <r>
    <n v="40589956"/>
    <s v=""/>
    <s v="170400700001"/>
    <n v="93"/>
    <s v="BCA"/>
    <s v="BIENES SUJETOS A CONTROL/MICROFONO"/>
    <s v="BY2009860280"/>
    <s v="LAVALIER BY-M1"/>
    <s v="BOYA"/>
    <m/>
    <m/>
    <n v="33"/>
    <m/>
    <s v="NEGRO"/>
    <s v="METAL Y PLASTICO"/>
    <s v="18.00MMH X 8.30MMW X 8.30MMD"/>
    <s v="BUENO"/>
    <s v="S"/>
    <s v="APROBADO"/>
    <n v="6"/>
    <s v="PLATAFORMA GUBERNAMENTAL NORTE PISO 7 TORRE VERDE BODEGA DE INVENTARIOS"/>
    <n v="97459"/>
    <s v="PLATAFORMA GUBERNAMENTAL NORTE"/>
    <n v="1717662512"/>
    <s v="FLORES FLORES JOFFRE FABIAN"/>
    <s v="S"/>
    <s v="DONACION"/>
    <s v="ACTA"/>
    <s v="No Aplica"/>
    <s v="LEGALIZADO"/>
    <s v="S"/>
    <s v="S"/>
    <s v="DONACION MICROFONO POR PARTE DE UNHCR ACNUR CONFORME ACTA DE DONACIÓN SUSCRITA SERIE BY2009860280, MODELO LAVALIER BY-M1 MARCA BOYA"/>
    <n v="0"/>
    <x v="0"/>
    <s v="N"/>
    <d v="2025-11-12T00:00:00"/>
    <d v="2025-11-12T00:00:00"/>
    <m/>
    <n v="0"/>
    <m/>
    <n v="33"/>
    <n v="0"/>
    <n v="33"/>
    <n v="0"/>
    <s v="N"/>
  </r>
  <r>
    <n v="40589960"/>
    <s v=""/>
    <s v="170400700001"/>
    <n v="94"/>
    <s v="BCA"/>
    <s v="BIENES SUJETOS A CONTROL/MICROFONO"/>
    <s v="BY2009864595"/>
    <s v="LAVALIER BY-M1"/>
    <s v="BOYA"/>
    <m/>
    <m/>
    <n v="33"/>
    <m/>
    <s v="NEGRO"/>
    <s v="METAL Y PLASTICO"/>
    <s v="18.00MMH X 8.30MMW X 8.30MMD"/>
    <s v="BUENO"/>
    <s v="S"/>
    <s v="APROBADO"/>
    <n v="6"/>
    <s v="PLATAFORMA GUBERNAMENTAL NORTE PISO 7 TORRE VERDE BODEGA DE INVENTARIOS"/>
    <n v="97459"/>
    <s v="PLATAFORMA GUBERNAMENTAL NORTE"/>
    <n v="1717662512"/>
    <s v="FLORES FLORES JOFFRE FABIAN"/>
    <s v="S"/>
    <s v="DONACION"/>
    <s v="ACTA"/>
    <s v="No Aplica"/>
    <s v="LEGALIZADO"/>
    <s v="S"/>
    <s v="S"/>
    <s v="DONACION MICROFONO POR PARTE DE UNHCR ACNUR CONFORME ACTA DE DONACIÓN SUSCRITA SERIE BY2009864595, MODELO LAVALIER BY-M1 MARCA BOYA"/>
    <n v="0"/>
    <x v="0"/>
    <s v="N"/>
    <d v="2025-11-12T00:00:00"/>
    <d v="2025-11-12T00:00:00"/>
    <m/>
    <n v="0"/>
    <m/>
    <n v="33"/>
    <n v="0"/>
    <n v="33"/>
    <n v="0"/>
    <s v="N"/>
  </r>
  <r>
    <n v="40589867"/>
    <s v=""/>
    <s v="170400370001"/>
    <n v="90"/>
    <s v="BCA"/>
    <s v="BIENES SUJETOS A CONTROL/CAMARA FOTOGRAFICA/CAMARA FOTOGRAFICA"/>
    <s v="302073006547"/>
    <s v="REBEL SL3"/>
    <s v="CANON"/>
    <m/>
    <m/>
    <n v="900"/>
    <m/>
    <s v="NEGRO"/>
    <s v="METAL Y PLASTICO"/>
    <s v="122.4 x 92.6 x 69.8 mm"/>
    <s v="BUENO"/>
    <s v="S"/>
    <s v="APROBADO"/>
    <n v="6"/>
    <s v="PLATAFORMA GUBERNAMENTAL NORTE PISO 7 TORRE VERDE BODEGA DE INVENTARIOS"/>
    <n v="97459"/>
    <s v="PLATAFORMA GUBERNAMENTAL NORTE"/>
    <n v="1717662512"/>
    <s v="FLORES FLORES JOFFRE FABIAN"/>
    <s v="S"/>
    <s v="DONACION"/>
    <s v="ACTA"/>
    <s v="No Aplica"/>
    <s v="LEGALIZADO"/>
    <s v="S"/>
    <s v="S"/>
    <s v="DONACION CAMARA POR PARTE DE UNHCR ACNUR CONFORME ACTA DE DONACIÓN SUSCRITA SERIE 302073006547, MODELO REBEL SL3 MARCA CANON"/>
    <n v="0"/>
    <x v="0"/>
    <s v="N"/>
    <d v="2025-11-12T00:00:00"/>
    <d v="2025-11-12T00:00:00"/>
    <m/>
    <n v="0"/>
    <m/>
    <n v="900"/>
    <n v="0"/>
    <n v="900"/>
    <n v="0"/>
    <s v="N"/>
  </r>
  <r>
    <n v="40875419"/>
    <s v=""/>
    <s v="170700080001"/>
    <n v="139"/>
    <s v="BCA"/>
    <s v="BIENES SUJETOS A CONTROL/DISCO DURO"/>
    <s v="50026B7283AFBCFF"/>
    <s v="Disco Duro SSD PCIe NVMe, 1TB"/>
    <s v="KINGSTON"/>
    <m/>
    <m/>
    <n v="90"/>
    <m/>
    <s v="AZUL"/>
    <s v="METAL"/>
    <s v="22mm x 80mm x 2.1mm"/>
    <s v="BUENO"/>
    <s v="S"/>
    <s v="APROBADO"/>
    <n v="6"/>
    <s v="PLATAFORMA GUBERNAMENTAL NORTE PISO 7 TORRE VERDE BODEGA DE INVENTARIOS"/>
    <n v="97459"/>
    <s v="PLATAFORMA GUBERNAMENTAL NORTE"/>
    <n v="401265012"/>
    <s v="GUERRA ASLALEMA DARWIN BAYARDO"/>
    <s v="S"/>
    <s v="COMPRA"/>
    <s v="ACTA"/>
    <n v="453"/>
    <s v="LEGALIZADO"/>
    <s v="S"/>
    <s v="S"/>
    <s v="COMPRA DISCO SOLIDO 1TB CONFORME NUMERO DE COMPROBANTE CNIMH-2025-0231-MEMO, MODELO SSD PCIE NVME, MARCA KINGSTON PROVEEDOR DATAPRO S.A RUC 1791083210001"/>
    <n v="531407"/>
    <x v="0"/>
    <s v="N"/>
    <d v="2025-12-12T00:00:00"/>
    <d v="2025-12-12T00:00:00"/>
    <d v="2025-12-12T00:00:00"/>
    <n v="0"/>
    <m/>
    <n v="90"/>
    <n v="0"/>
    <n v="90"/>
    <n v="0"/>
    <s v="N"/>
  </r>
  <r>
    <n v="40875420"/>
    <s v=""/>
    <s v="170700080001"/>
    <n v="139"/>
    <s v="BCA"/>
    <s v="BIENES SUJETOS A CONTROL/DISCO DURO"/>
    <s v="50026B7283AFBDA9"/>
    <s v="Disco Duro SSD PCIe NVMe, 1TB"/>
    <s v="KINGSTON"/>
    <m/>
    <m/>
    <n v="90"/>
    <m/>
    <s v="AZUL"/>
    <s v="METAL"/>
    <s v="22mm x 80mm x 2.1mm"/>
    <s v="BUENO"/>
    <s v="S"/>
    <s v="APROBADO"/>
    <n v="6"/>
    <s v="PLATAFORMA GUBERNAMENTAL NORTE PISO 7 TORRE VERDE BODEGA DE INVENTARIOS"/>
    <n v="97459"/>
    <s v="PLATAFORMA GUBERNAMENTAL NORTE"/>
    <n v="401265012"/>
    <s v="GUERRA ASLALEMA DARWIN BAYARDO"/>
    <s v="S"/>
    <s v="COMPRA"/>
    <s v="ACTA"/>
    <n v="453"/>
    <s v="LEGALIZADO"/>
    <s v="S"/>
    <s v="S"/>
    <s v="COMPRA DISCO SOLIDO 1TB CONFORME NUMERO DE COMPROBANTE CNIMH-2025-0231-MEMO, MODELO SSD PCIE NVME, MARCA KINGSTON PROVEEDOR DATAPRO S.A RUC 1791083210001"/>
    <n v="531407"/>
    <x v="0"/>
    <s v="N"/>
    <d v="2025-12-12T00:00:00"/>
    <d v="2025-12-12T00:00:00"/>
    <d v="2025-12-12T00:00:00"/>
    <n v="0"/>
    <m/>
    <n v="90"/>
    <n v="0"/>
    <n v="90"/>
    <n v="0"/>
    <s v="N"/>
  </r>
  <r>
    <n v="40875421"/>
    <s v=""/>
    <s v="170700080001"/>
    <n v="139"/>
    <s v="BCA"/>
    <s v="BIENES SUJETOS A CONTROL/DISCO DURO"/>
    <s v="50026B7283AFBD19"/>
    <s v="Disco Duro SSD PCIe NVMe, 1TB"/>
    <s v="KINGSTON"/>
    <m/>
    <m/>
    <n v="90"/>
    <m/>
    <s v="AZUL"/>
    <s v="METAL"/>
    <s v="22mm x 80mm x 2.1mm"/>
    <s v="BUENO"/>
    <s v="S"/>
    <s v="APROBADO"/>
    <n v="6"/>
    <s v="PLATAFORMA GUBERNAMENTAL NORTE PISO 7 TORRE VERDE BODEGA DE INVENTARIOS"/>
    <n v="97459"/>
    <s v="PLATAFORMA GUBERNAMENTAL NORTE"/>
    <n v="401265012"/>
    <s v="GUERRA ASLALEMA DARWIN BAYARDO"/>
    <s v="S"/>
    <s v="COMPRA"/>
    <s v="ACTA"/>
    <n v="453"/>
    <s v="LEGALIZADO"/>
    <s v="S"/>
    <s v="S"/>
    <s v="COMPRA DISCO SOLIDO 1TB CONFORME NUMERO DE COMPROBANTE CNIMH-2025-0231-MEMO, MODELO SSD PCIE NVME, MARCA KINGSTON PROVEEDOR DATAPRO S.A RUC 1791083210001"/>
    <n v="531407"/>
    <x v="0"/>
    <s v="N"/>
    <d v="2025-12-12T00:00:00"/>
    <d v="2025-12-12T00:00:00"/>
    <d v="2025-12-12T00:00:00"/>
    <n v="0"/>
    <m/>
    <n v="90"/>
    <n v="0"/>
    <n v="90"/>
    <n v="0"/>
    <s v="N"/>
  </r>
  <r>
    <n v="40875422"/>
    <s v=""/>
    <s v="170700080001"/>
    <n v="139"/>
    <s v="BCA"/>
    <s v="BIENES SUJETOS A CONTROL/DISCO DURO"/>
    <s v="50026B7283AFBD52"/>
    <s v="Disco Duro SSD PCIe NVMe, 1TB"/>
    <s v="KINGSTON"/>
    <m/>
    <m/>
    <n v="90"/>
    <m/>
    <s v="AZUL"/>
    <s v="METAL"/>
    <s v="22mm x 80mm x 2.1mm"/>
    <s v="BUENO"/>
    <s v="S"/>
    <s v="APROBADO"/>
    <n v="6"/>
    <s v="PLATAFORMA GUBERNAMENTAL NORTE PISO 7 TORRE VERDE BODEGA DE INVENTARIOS"/>
    <n v="97459"/>
    <s v="PLATAFORMA GUBERNAMENTAL NORTE"/>
    <n v="401265012"/>
    <s v="GUERRA ASLALEMA DARWIN BAYARDO"/>
    <s v="S"/>
    <s v="COMPRA"/>
    <s v="ACTA"/>
    <n v="453"/>
    <s v="LEGALIZADO"/>
    <s v="S"/>
    <s v="S"/>
    <s v="COMPRA DISCO SOLIDO 1TB CONFORME NUMERO DE COMPROBANTE CNIMH-2025-0231-MEMO, MODELO SSD PCIE NVME, MARCA KINGSTON PROVEEDOR DATAPRO S.A RUC 1791083210001"/>
    <n v="531407"/>
    <x v="0"/>
    <s v="N"/>
    <d v="2025-12-12T00:00:00"/>
    <d v="2025-12-12T00:00:00"/>
    <d v="2025-12-12T00:00:00"/>
    <n v="0"/>
    <m/>
    <n v="90"/>
    <n v="0"/>
    <n v="90"/>
    <n v="0"/>
    <s v="N"/>
  </r>
  <r>
    <n v="40875423"/>
    <s v=""/>
    <s v="170700080001"/>
    <n v="139"/>
    <s v="BCA"/>
    <s v="BIENES SUJETOS A CONTROL/DISCO DURO"/>
    <s v="50026B7283AFBCFE"/>
    <s v="Disco Duro SSD PCIe NVMe, 1TB"/>
    <s v="KINGSTON"/>
    <m/>
    <m/>
    <n v="90"/>
    <m/>
    <s v="AZUL"/>
    <s v="METAL"/>
    <s v="22mm x 80mm x 2.1mm"/>
    <s v="BUENO"/>
    <s v="S"/>
    <s v="APROBADO"/>
    <n v="6"/>
    <s v="PLATAFORMA GUBERNAMENTAL NORTE PISO 7 TORRE VERDE BODEGA DE INVENTARIOS"/>
    <n v="97459"/>
    <s v="PLATAFORMA GUBERNAMENTAL NORTE"/>
    <n v="401265012"/>
    <s v="GUERRA ASLALEMA DARWIN BAYARDO"/>
    <s v="S"/>
    <s v="COMPRA"/>
    <s v="ACTA"/>
    <n v="453"/>
    <s v="LEGALIZADO"/>
    <s v="S"/>
    <s v="S"/>
    <s v="COMPRA DISCO SOLIDO 1TB CONFORME NUMERO DE COMPROBANTE CNIMH-2025-0231-MEMO, MODELO SSD PCIE NVME, MARCA KINGSTON PROVEEDOR DATAPRO S.A RUC 1791083210001"/>
    <n v="531407"/>
    <x v="0"/>
    <s v="N"/>
    <d v="2025-12-12T00:00:00"/>
    <d v="2025-12-12T00:00:00"/>
    <d v="2025-12-12T00:00:00"/>
    <n v="0"/>
    <m/>
    <n v="90"/>
    <n v="0"/>
    <n v="90"/>
    <n v="0"/>
    <s v="N"/>
  </r>
  <r>
    <n v="40875424"/>
    <s v=""/>
    <s v="170700080001"/>
    <n v="139"/>
    <s v="BCA"/>
    <s v="BIENES SUJETOS A CONTROL/DISCO DURO"/>
    <s v="50026B7283AFBD01"/>
    <s v="Disco Duro SSD PCIe NVMe, 1TB"/>
    <s v="KINGSTON"/>
    <m/>
    <m/>
    <n v="90"/>
    <m/>
    <s v="AZUL"/>
    <s v="METAL"/>
    <s v="22mm x 80mm x 2.1mm"/>
    <s v="BUENO"/>
    <s v="S"/>
    <s v="APROBADO"/>
    <n v="6"/>
    <s v="PLATAFORMA GUBERNAMENTAL NORTE PISO 7 TORRE VERDE BODEGA DE INVENTARIOS"/>
    <n v="97459"/>
    <s v="PLATAFORMA GUBERNAMENTAL NORTE"/>
    <n v="401265012"/>
    <s v="GUERRA ASLALEMA DARWIN BAYARDO"/>
    <s v="S"/>
    <s v="COMPRA"/>
    <s v="ACTA"/>
    <n v="453"/>
    <s v="LEGALIZADO"/>
    <s v="S"/>
    <s v="S"/>
    <s v="COMPRA DISCO SOLIDO 1TB CONFORME NUMERO DE COMPROBANTE CNIMH-2025-0231-MEMO, MODELO SSD PCIE NVME, MARCA KINGSTON PROVEEDOR DATAPRO S.A RUC 1791083210001"/>
    <n v="531407"/>
    <x v="0"/>
    <s v="N"/>
    <d v="2025-12-12T00:00:00"/>
    <d v="2025-12-12T00:00:00"/>
    <d v="2025-12-12T00:00:00"/>
    <n v="0"/>
    <m/>
    <n v="90"/>
    <n v="0"/>
    <n v="90"/>
    <n v="0"/>
    <s v="N"/>
  </r>
  <r>
    <n v="40875425"/>
    <s v=""/>
    <s v="170700080001"/>
    <n v="139"/>
    <s v="BCA"/>
    <s v="BIENES SUJETOS A CONTROL/DISCO DURO"/>
    <s v="50026B7283AFBCFB"/>
    <s v="Disco Duro SSD PCIe NVMe, 1TB"/>
    <s v="KINGSTON"/>
    <m/>
    <m/>
    <n v="90"/>
    <m/>
    <s v="AZUL"/>
    <s v="METAL"/>
    <s v="22mm x 80mm x 2.1mm"/>
    <s v="BUENO"/>
    <s v="S"/>
    <s v="APROBADO"/>
    <n v="6"/>
    <s v="PLATAFORMA GUBERNAMENTAL NORTE PISO 7 TORRE VERDE BODEGA DE INVENTARIOS"/>
    <n v="97459"/>
    <s v="PLATAFORMA GUBERNAMENTAL NORTE"/>
    <n v="401265012"/>
    <s v="GUERRA ASLALEMA DARWIN BAYARDO"/>
    <s v="S"/>
    <s v="COMPRA"/>
    <s v="ACTA"/>
    <n v="453"/>
    <s v="LEGALIZADO"/>
    <s v="S"/>
    <s v="S"/>
    <s v="COMPRA DISCO SOLIDO 1TB CONFORME NUMERO DE COMPROBANTE CNIMH-2025-0231-MEMO, MODELO SSD PCIE NVME, MARCA KINGSTON PROVEEDOR DATAPRO S.A RUC 1791083210001"/>
    <n v="531407"/>
    <x v="0"/>
    <s v="N"/>
    <d v="2025-12-12T00:00:00"/>
    <d v="2025-12-12T00:00:00"/>
    <d v="2025-12-12T00:00:00"/>
    <n v="0"/>
    <m/>
    <n v="90"/>
    <n v="0"/>
    <n v="90"/>
    <n v="0"/>
    <s v="N"/>
  </r>
  <r>
    <n v="40875426"/>
    <s v=""/>
    <s v="170700080001"/>
    <n v="139"/>
    <s v="BCA"/>
    <s v="BIENES SUJETOS A CONTROL/DISCO DURO"/>
    <s v="50026B7283AFBDA8"/>
    <s v="Disco Duro SSD PCIe NVMe, 1TB"/>
    <s v="KINGSTON"/>
    <m/>
    <m/>
    <n v="90"/>
    <m/>
    <s v="AZUL"/>
    <s v="METAL"/>
    <s v="22mm x 80mm x 2.1mm"/>
    <s v="BUENO"/>
    <s v="S"/>
    <s v="APROBADO"/>
    <n v="6"/>
    <s v="PLATAFORMA GUBERNAMENTAL NORTE PISO 7 TORRE VERDE BODEGA DE INVENTARIOS"/>
    <n v="97459"/>
    <s v="PLATAFORMA GUBERNAMENTAL NORTE"/>
    <n v="401265012"/>
    <s v="GUERRA ASLALEMA DARWIN BAYARDO"/>
    <s v="S"/>
    <s v="COMPRA"/>
    <s v="ACTA"/>
    <n v="453"/>
    <s v="LEGALIZADO"/>
    <s v="S"/>
    <s v="S"/>
    <s v="COMPRA DISCO SOLIDO 1TB CONFORME NUMERO DE COMPROBANTE CNIMH-2025-0231-MEMO, MODELO SSD PCIE NVME, MARCA KINGSTON PROVEEDOR DATAPRO S.A RUC 1791083210001"/>
    <n v="531407"/>
    <x v="0"/>
    <s v="N"/>
    <d v="2025-12-12T00:00:00"/>
    <d v="2025-12-12T00:00:00"/>
    <d v="2025-12-12T00:00:00"/>
    <n v="0"/>
    <m/>
    <n v="90"/>
    <n v="0"/>
    <n v="90"/>
    <n v="0"/>
    <s v="N"/>
  </r>
  <r>
    <n v="40875427"/>
    <s v=""/>
    <s v="170700080001"/>
    <n v="139"/>
    <s v="BCA"/>
    <s v="BIENES SUJETOS A CONTROL/DISCO DURO"/>
    <s v="50026B7283AFBCEB"/>
    <s v="Disco Duro SSD PCIe NVMe, 1TB"/>
    <s v="KINGSTON"/>
    <m/>
    <m/>
    <n v="90"/>
    <m/>
    <s v="AZUL"/>
    <s v="METAL"/>
    <s v="22mm x 80mm x 2.1mm"/>
    <s v="BUENO"/>
    <s v="S"/>
    <s v="APROBADO"/>
    <n v="6"/>
    <s v="PLATAFORMA GUBERNAMENTAL NORTE PISO 7 TORRE VERDE BODEGA DE INVENTARIOS"/>
    <n v="97459"/>
    <s v="PLATAFORMA GUBERNAMENTAL NORTE"/>
    <n v="401265012"/>
    <s v="GUERRA ASLALEMA DARWIN BAYARDO"/>
    <s v="S"/>
    <s v="COMPRA"/>
    <s v="ACTA"/>
    <n v="453"/>
    <s v="LEGALIZADO"/>
    <s v="S"/>
    <s v="S"/>
    <s v="COMPRA DISCO SOLIDO 1TB CONFORME NUMERO DE COMPROBANTE CNIMH-2025-0231-MEMO, MODELO SSD PCIE NVME, MARCA KINGSTON PROVEEDOR DATAPRO S.A RUC 1791083210001"/>
    <n v="531407"/>
    <x v="0"/>
    <s v="N"/>
    <d v="2025-12-12T00:00:00"/>
    <d v="2025-12-12T00:00:00"/>
    <d v="2025-12-12T00:00:00"/>
    <n v="0"/>
    <m/>
    <n v="90"/>
    <n v="0"/>
    <n v="90"/>
    <n v="0"/>
    <s v="N"/>
  </r>
  <r>
    <n v="40875428"/>
    <s v=""/>
    <s v="170700080001"/>
    <n v="139"/>
    <s v="BCA"/>
    <s v="BIENES SUJETOS A CONTROL/DISCO DURO"/>
    <s v="50026B7283AFBCF5"/>
    <s v="Disco Duro SSD PCIe NVMe, 1TB"/>
    <s v="KINGSTON"/>
    <m/>
    <m/>
    <n v="90"/>
    <m/>
    <s v="AZUL"/>
    <s v="METAL"/>
    <s v="22mm x 80mm x 2.1mm"/>
    <s v="BUENO"/>
    <s v="S"/>
    <s v="APROBADO"/>
    <n v="6"/>
    <s v="PLATAFORMA GUBERNAMENTAL NORTE PISO 7 TORRE VERDE BODEGA DE INVENTARIOS"/>
    <n v="97459"/>
    <s v="PLATAFORMA GUBERNAMENTAL NORTE"/>
    <n v="401265012"/>
    <s v="GUERRA ASLALEMA DARWIN BAYARDO"/>
    <s v="S"/>
    <s v="COMPRA"/>
    <s v="ACTA"/>
    <n v="453"/>
    <s v="LEGALIZADO"/>
    <s v="S"/>
    <s v="S"/>
    <s v="COMPRA DISCO SOLIDO 1TB CONFORME NUMERO DE COMPROBANTE CNIMH-2025-0231-MEMO, MODELO SSD PCIE NVME, MARCA KINGSTON PROVEEDOR DATAPRO S.A RUC 1791083210001"/>
    <n v="531407"/>
    <x v="0"/>
    <s v="N"/>
    <d v="2025-12-12T00:00:00"/>
    <d v="2025-12-12T00:00:00"/>
    <d v="2025-12-12T00:00:00"/>
    <n v="0"/>
    <m/>
    <n v="90"/>
    <n v="0"/>
    <n v="90"/>
    <n v="0"/>
    <s v="N"/>
  </r>
  <r>
    <n v="35650865"/>
    <s v="18870656"/>
    <s v="300800140003"/>
    <n v="425297"/>
    <s v="BLD"/>
    <s v="MUEBLES DE USO GENERAL/CAJONERA/MIXTO"/>
    <s v="18870656"/>
    <s v="CAJONERA RECTANGULAR DE MADERA Y METAL CON 2 SERVICIOS"/>
    <s v="MEGA MUEBLES DE OFICINA / TIENE CERRADURA"/>
    <s v="N"/>
    <m/>
    <n v="93"/>
    <s v="N"/>
    <s v="NEGRO"/>
    <s v="MADERA Y METAL"/>
    <s v="NO APLICA"/>
    <s v="BUENO"/>
    <s v="S"/>
    <s v="APROBADO"/>
    <n v="6"/>
    <s v="PLATAFORMA GUBERNAMENTAL NORTE PISO 7 TORRE VERDE BODEGA DE INVENTARIOS"/>
    <n v="97459"/>
    <s v="PLATAFORMA GUBERNAMENTAL NORTE"/>
    <n v="401265012"/>
    <s v="GUERRA ASLALEMA DARWIN BAYARDO"/>
    <s v="S"/>
    <s v="MATRIZ1"/>
    <s v="MATRIZ"/>
    <s v="No Aplica"/>
    <s v="No Aplica"/>
    <s v="No Aplica"/>
    <s v="S"/>
    <s v="CAJONERA RECTANGULAR DE MADERA Y METAL CON 2 SERVICIOS"/>
    <n v="840103"/>
    <x v="1"/>
    <s v="S"/>
    <d v="2022-11-09T17:04:05"/>
    <d v="1999-12-23T00:00:00"/>
    <d v="2009-12-19T00:00:00"/>
    <n v="10"/>
    <d v="2009-12-19T00:00:00"/>
    <n v="93"/>
    <n v="9.3000000000000007"/>
    <n v="9.3000000000000007"/>
    <n v="83.7"/>
    <s v="N"/>
  </r>
  <r>
    <n v="35650869"/>
    <s v="18870660"/>
    <s v="300100130006"/>
    <n v="425297"/>
    <s v="BLD"/>
    <s v="MUEBLES DE OFICINA/ESCRITORIO/MIXTO"/>
    <s v="18870660"/>
    <s v="18870660"/>
    <s v="SIN MARCA"/>
    <s v="N"/>
    <m/>
    <n v="410"/>
    <s v="N"/>
    <s v="CAFE CLARO Y NEGRO"/>
    <m/>
    <s v="NO APLICA"/>
    <s v="BUENO"/>
    <s v="S"/>
    <s v="APROBADO"/>
    <n v="6"/>
    <s v="PLATAFORMA GUBERNAMENTAL NORTE PISO 7 TORRE VERDE BODEGA DE INVENTARIOS"/>
    <n v="97459"/>
    <s v="PLATAFORMA GUBERNAMENTAL NORTE"/>
    <n v="1717662512"/>
    <s v="FLORES FLORES JOFFRE FABIAN"/>
    <s v="S"/>
    <s v="MATRIZ1"/>
    <s v="MATRIZ"/>
    <s v="No Aplica"/>
    <s v="No Aplica"/>
    <s v="No Aplica"/>
    <s v="S"/>
    <s v="ESCRITORIO DE MADERA Y METAL CON CAJONERAS"/>
    <n v="840103"/>
    <x v="1"/>
    <s v="S"/>
    <d v="2022-11-09T17:04:05"/>
    <d v="1999-12-23T00:00:00"/>
    <d v="2009-12-19T00:00:00"/>
    <n v="10"/>
    <d v="2009-12-19T00:00:00"/>
    <n v="410"/>
    <n v="41"/>
    <n v="41"/>
    <n v="369"/>
    <s v="N"/>
  </r>
  <r>
    <n v="35650922"/>
    <s v="21346880"/>
    <s v="300100130006"/>
    <n v="425297"/>
    <s v="BLD"/>
    <s v="MUEBLES DE OFICINA/ESCRITORIO/MIXTO"/>
    <s v="21346880"/>
    <s v="21346880"/>
    <s v="SIN MARCA"/>
    <s v="N"/>
    <m/>
    <n v="843.19"/>
    <s v="N"/>
    <s v="CAQUI Y PLOMO"/>
    <m/>
    <s v="NO APLICA"/>
    <s v="BUENO"/>
    <s v="S"/>
    <s v="APROBADO"/>
    <n v="6"/>
    <s v="PLATAFORMA GUBERNAMENTAL NORTE PISO 7 TORRE VERDE BODEGA DE INVENTARIOS"/>
    <n v="97459"/>
    <s v="PLATAFORMA GUBERNAMENTAL NORTE"/>
    <n v="1719443135"/>
    <s v="CARRILLO CHUQUITARCO DIEGO FERNANDO"/>
    <s v="S"/>
    <s v="MATRIZ1"/>
    <s v="MATRIZ"/>
    <s v="No Aplica"/>
    <s v="No Aplica"/>
    <s v="No Aplica"/>
    <s v="S"/>
    <s v="MUEBLES DE OFICINA/ESCRITORIO/MIXTO"/>
    <n v="840103"/>
    <x v="1"/>
    <s v="N"/>
    <d v="2022-11-09T17:04:06"/>
    <d v="2015-10-01T00:00:00"/>
    <d v="2025-09-27T00:00:00"/>
    <n v="10"/>
    <d v="2025-09-27T00:00:00"/>
    <n v="843.19"/>
    <n v="84.32"/>
    <n v="84.32"/>
    <n v="758.87"/>
    <s v="N"/>
  </r>
  <r>
    <n v="35650923"/>
    <s v="21346881"/>
    <s v="300100130006"/>
    <n v="425297"/>
    <s v="BLD"/>
    <s v="MUEBLES DE OFICINA/ESCRITORIO/MIXTO"/>
    <s v="21346881"/>
    <s v="21346881"/>
    <s v="SIN MARCA"/>
    <s v="N"/>
    <m/>
    <n v="843.19"/>
    <s v="N"/>
    <s v="CAQUI Y PLOMO"/>
    <m/>
    <s v="NO APLICA"/>
    <s v="BUENO"/>
    <s v="S"/>
    <s v="APROBADO"/>
    <n v="6"/>
    <s v="PLATAFORMA GUBERNAMENTAL NORTE PISO 7 TORRE VERDE BODEGA DE INVENTARIOS"/>
    <n v="97459"/>
    <s v="PLATAFORMA GUBERNAMENTAL NORTE"/>
    <n v="401265012"/>
    <s v="GUERRA ASLALEMA DARWIN BAYARDO"/>
    <s v="S"/>
    <s v="MATRIZ1"/>
    <s v="MATRIZ"/>
    <s v="No Aplica"/>
    <s v="No Aplica"/>
    <s v="No Aplica"/>
    <s v="S"/>
    <s v="MUEBLES DE OFICINA/ESCRITORIO/MIXTO"/>
    <n v="840103"/>
    <x v="1"/>
    <s v="N"/>
    <d v="2022-11-09T17:04:06"/>
    <d v="2015-10-01T00:00:00"/>
    <d v="2025-09-27T00:00:00"/>
    <n v="10"/>
    <d v="2025-09-27T00:00:00"/>
    <n v="843.19"/>
    <n v="84.32"/>
    <n v="84.32"/>
    <n v="758.87"/>
    <s v="N"/>
  </r>
  <r>
    <n v="35650924"/>
    <s v="21346882"/>
    <s v="300600010001"/>
    <n v="425297"/>
    <s v="BLD"/>
    <s v="MUEBLES DE CAFETERIA; COMEDOR Y SALA/ALACENA/MADERA"/>
    <s v="21346882"/>
    <s v="21346882"/>
    <s v="SMMO460"/>
    <s v="N"/>
    <m/>
    <n v="190.85"/>
    <s v="N"/>
    <s v="BLANCO CON CAQUI"/>
    <m/>
    <s v="NO APLICA"/>
    <s v="BUENO"/>
    <s v="S"/>
    <s v="APROBADO"/>
    <n v="6"/>
    <s v="PLATAFORMA GUBERNAMENTAL NORTE PISO 7 TORRE VERDE BODEGA DE INVENTARIOS"/>
    <n v="97459"/>
    <s v="PLATAFORMA GUBERNAMENTAL NORTE"/>
    <n v="1726517327"/>
    <s v="VILLAVICENCIO SALAZAR NICOLAS GABRIEL"/>
    <s v="S"/>
    <s v="MATRIZ1"/>
    <s v="MATRIZ"/>
    <s v="No Aplica"/>
    <s v="No Aplica"/>
    <s v="No Aplica"/>
    <s v="S"/>
    <s v="MUEBLES DE CAFETERIA COMEDOR Y SALA/ALACENA/MDF"/>
    <n v="840103"/>
    <x v="1"/>
    <s v="S"/>
    <d v="2022-11-09T17:04:06"/>
    <d v="2013-12-09T00:00:00"/>
    <d v="2023-12-06T00:00:00"/>
    <n v="10"/>
    <d v="2023-12-06T00:00:00"/>
    <n v="190.85"/>
    <n v="19.09"/>
    <n v="19.09"/>
    <n v="171.76"/>
    <s v="N"/>
  </r>
  <r>
    <n v="35650926"/>
    <s v="21346884"/>
    <s v="300100130006"/>
    <n v="425297"/>
    <s v="BLD"/>
    <s v="MUEBLES DE OFICINA/ESCRITORIO/MIXTO"/>
    <s v="21346884"/>
    <s v="21346884"/>
    <s v="SMMO26"/>
    <s v="N"/>
    <m/>
    <n v="1456"/>
    <s v="N"/>
    <s v="CAQUI CON NEGRO"/>
    <m/>
    <s v="NO APLICA"/>
    <s v="BUENO"/>
    <s v="S"/>
    <s v="APROBADO"/>
    <n v="6"/>
    <s v="PLATAFORMA GUBERNAMENTAL NORTE PISO 7 TORRE VERDE BODEGA DE INVENTARIOS"/>
    <n v="97459"/>
    <s v="PLATAFORMA GUBERNAMENTAL NORTE"/>
    <n v="1709796500"/>
    <s v="GARCES TIPAN TANSHA DEL PILAR"/>
    <s v="S"/>
    <s v="MATRIZ1"/>
    <s v="MATRIZ"/>
    <s v="No Aplica"/>
    <s v="No Aplica"/>
    <s v="No Aplica"/>
    <s v="S"/>
    <s v="MUEBLES DE OFICINA/ESCRITORIO/MIXTO"/>
    <n v="840103"/>
    <x v="1"/>
    <s v="N"/>
    <d v="2022-11-09T17:04:06"/>
    <d v="2013-12-09T00:00:00"/>
    <d v="2023-12-06T00:00:00"/>
    <n v="10"/>
    <d v="2023-12-06T00:00:00"/>
    <n v="1456"/>
    <n v="145.6"/>
    <n v="145.6"/>
    <n v="1310.4000000000001"/>
    <s v="N"/>
  </r>
  <r>
    <n v="39250319"/>
    <s v=""/>
    <s v="300100400003"/>
    <n v="14"/>
    <s v="BLD"/>
    <s v="MUEBLES DE OFICINA/MESA REDONDA/MIXTA"/>
    <s v="39250319"/>
    <s v="MESA DE REUNIONES CIRCULAR 1900MM DE DIAMETRO 4P"/>
    <s v="N/A"/>
    <s v="N"/>
    <m/>
    <n v="116"/>
    <s v="N"/>
    <s v="BEIGE"/>
    <s v="MADERA METAL"/>
    <s v="1900MM DE DIAMETRO"/>
    <s v="BUENO"/>
    <s v="S"/>
    <s v="APROBADO"/>
    <n v="6"/>
    <s v="PLATAFORMA GUBERNAMENTAL NORTE PISO 7 TORRE VERDE BODEGA DE INVENTARIOS"/>
    <n v="97459"/>
    <s v="PLATAFORMA GUBERNAMENTAL NORTE"/>
    <n v="103542908"/>
    <s v="MACHUCA PALACIOS SONIA VERONICA"/>
    <s v="S"/>
    <s v="COMPRA"/>
    <s v="ACTA"/>
    <n v="443"/>
    <s v="LEGALIZADO"/>
    <s v="S"/>
    <s v="S"/>
    <s v="PROVEEDOR VICTOR TELLO SERVICIOS Y COMERCIO RUC 1700505835001 SOFA BIPERSONAL MESA REUNION CIRCULAR 900MM 4P SILLA CHUKUY MESA SALA REUNIONES 12 PER SILLON QHAPAX, OC CE20240002721946 CE20240002721947 CE20240002721948 CE20240002721949 CE2024002721953"/>
    <n v="840103"/>
    <x v="1"/>
    <s v="S"/>
    <d v="2024-11-13T00:00:00"/>
    <d v="2024-11-13T00:00:00"/>
    <d v="2026-02-28T00:00:00"/>
    <n v="10"/>
    <d v="2034-11-10T00:00:00"/>
    <n v="116"/>
    <n v="11.6"/>
    <n v="102.46"/>
    <n v="13.54"/>
    <s v="N"/>
  </r>
  <r>
    <n v="39250320"/>
    <s v=""/>
    <s v="300100400003"/>
    <n v="14"/>
    <s v="BLD"/>
    <s v="MUEBLES DE OFICINA/MESA REDONDA/MIXTA"/>
    <s v="39250320"/>
    <s v="MESA DE REUNIONES CIRCULAR 1900MM DE DIAMETRO 4P"/>
    <s v="N/A"/>
    <s v="N"/>
    <m/>
    <n v="116"/>
    <s v="N"/>
    <s v="BEIGE"/>
    <s v="MADERA METAL"/>
    <s v="1900MM DE DIAMETRO"/>
    <s v="BUENO"/>
    <s v="S"/>
    <s v="APROBADO"/>
    <n v="6"/>
    <s v="PLATAFORMA GUBERNAMENTAL NORTE PISO 7 TORRE VERDE BODEGA DE INVENTARIOS"/>
    <n v="97459"/>
    <s v="PLATAFORMA GUBERNAMENTAL NORTE"/>
    <n v="1711995694"/>
    <s v="ULLOA MONAR FANNY CRISTINA"/>
    <s v="S"/>
    <s v="COMPRA"/>
    <s v="ACTA"/>
    <n v="443"/>
    <s v="LEGALIZADO"/>
    <s v="S"/>
    <s v="S"/>
    <s v="PROVEEDOR VICTOR TELLO SERVICIOS Y COMERCIO RUC 1700505835001 SOFA BIPERSONAL MESA REUNION CIRCULAR 900MM 4P SILLA CHUKUY MESA SALA REUNIONES 12 PER SILLON QHAPAX, OC CE20240002721946 CE20240002721947 CE20240002721948 CE20240002721949 CE2024002721953"/>
    <n v="840103"/>
    <x v="1"/>
    <s v="S"/>
    <d v="2024-11-13T00:00:00"/>
    <d v="2024-11-14T00:00:00"/>
    <d v="2026-02-28T00:00:00"/>
    <n v="10"/>
    <d v="2034-11-11T00:00:00"/>
    <n v="116"/>
    <n v="11.6"/>
    <n v="102.48"/>
    <n v="13.52"/>
    <s v="N"/>
  </r>
  <r>
    <n v="39250321"/>
    <s v=""/>
    <s v="300100400003"/>
    <n v="14"/>
    <s v="BLD"/>
    <s v="MUEBLES DE OFICINA/MESA REDONDA/MIXTA"/>
    <s v="39250321"/>
    <s v="MESA DE REUNIONES CIRCULAR 1900MM DE DIAMETRO 4P"/>
    <s v="N/A"/>
    <s v="N"/>
    <m/>
    <n v="116"/>
    <s v="N"/>
    <s v="BEIGE"/>
    <s v="MADERA METAL"/>
    <s v="1900MM DE DIAMETRO"/>
    <s v="BUENO"/>
    <s v="S"/>
    <s v="APROBADO"/>
    <n v="6"/>
    <s v="PLATAFORMA GUBERNAMENTAL NORTE PISO 7 TORRE VERDE BODEGA DE INVENTARIOS"/>
    <n v="97459"/>
    <s v="PLATAFORMA GUBERNAMENTAL NORTE"/>
    <n v="102936168"/>
    <s v="DUTAN TAMAYO HUGO ERNESTO"/>
    <s v="S"/>
    <s v="COMPRA"/>
    <s v="ACTA"/>
    <n v="443"/>
    <s v="LEGALIZADO"/>
    <s v="S"/>
    <s v="S"/>
    <s v="PROVEEDOR VICTOR TELLO SERVICIOS Y COMERCIO RUC 1700505835001 SOFA BIPERSONAL MESA REUNION CIRCULAR 900MM 4P SILLA CHUKUY MESA SALA REUNIONES 12 PER SILLON QHAPAX, OC CE20240002721946 CE20240002721947 CE20240002721948 CE20240002721949 CE2024002721953"/>
    <n v="840103"/>
    <x v="1"/>
    <s v="S"/>
    <d v="2024-11-13T00:00:00"/>
    <d v="2024-11-14T00:00:00"/>
    <d v="2026-02-28T00:00:00"/>
    <n v="10"/>
    <d v="2034-11-11T00:00:00"/>
    <n v="116"/>
    <n v="11.6"/>
    <n v="102.48"/>
    <n v="13.52"/>
    <s v="N"/>
  </r>
  <r>
    <n v="39250322"/>
    <s v=""/>
    <s v="300100400003"/>
    <n v="14"/>
    <s v="BLD"/>
    <s v="MUEBLES DE OFICINA/MESA REDONDA/MIXTA"/>
    <s v="39250322"/>
    <s v="MESA DE REUNIONES CIRCULAR 1900MM DE DIAMETRO 4P"/>
    <s v="N/A"/>
    <s v="N"/>
    <m/>
    <n v="116"/>
    <s v="N"/>
    <s v="BEIGE"/>
    <s v="MADERA METAL"/>
    <s v="1900MM DE DIAMETRO"/>
    <s v="BUENO"/>
    <s v="S"/>
    <s v="APROBADO"/>
    <n v="6"/>
    <s v="PLATAFORMA GUBERNAMENTAL NORTE PISO 7 TORRE VERDE BODEGA DE INVENTARIOS"/>
    <n v="97459"/>
    <s v="PLATAFORMA GUBERNAMENTAL NORTE"/>
    <n v="1709796500"/>
    <s v="GARCES TIPAN TANSHA DEL PILAR"/>
    <s v="S"/>
    <s v="COMPRA"/>
    <s v="ACTA"/>
    <n v="443"/>
    <s v="LEGALIZADO"/>
    <s v="S"/>
    <s v="S"/>
    <s v="PROVEEDOR VICTOR TELLO SERVICIOS Y COMERCIO RUC 1700505835001 SOFA BIPERSONAL MESA REUNION CIRCULAR 900MM 4P SILLA CHUKUY MESA SALA REUNIONES 12 PER SILLON QHAPAX, OC CE20240002721946 CE20240002721947 CE20240002721948 CE20240002721949 CE2024002721953"/>
    <n v="840103"/>
    <x v="1"/>
    <s v="S"/>
    <d v="2024-11-13T00:00:00"/>
    <d v="2024-11-14T00:00:00"/>
    <d v="2026-02-28T00:00:00"/>
    <n v="10"/>
    <d v="2034-11-11T00:00:00"/>
    <n v="116"/>
    <n v="11.6"/>
    <n v="102.48"/>
    <n v="13.52"/>
    <s v="N"/>
  </r>
  <r>
    <n v="39250323"/>
    <s v=""/>
    <s v="300100280006"/>
    <n v="14"/>
    <s v="BLD"/>
    <s v="MUEBLES DE OFICINA/SILLA/APOYABRAZOS"/>
    <s v="39250323"/>
    <s v="SILLA CHUKUY"/>
    <s v="N/A"/>
    <s v="N"/>
    <m/>
    <n v="77.77"/>
    <s v="N"/>
    <s v="GRIS"/>
    <s v="METALICA NYLON TELA TIPO TEXTERA R"/>
    <s v="35MM Y 60 MM"/>
    <s v="BUENO"/>
    <s v="S"/>
    <s v="APROBADO"/>
    <n v="6"/>
    <s v="PLATAFORMA GUBERNAMENTAL NORTE PISO 7 TORRE VERDE BODEGA DE INVENTARIOS"/>
    <n v="97459"/>
    <s v="PLATAFORMA GUBERNAMENTAL NORTE"/>
    <n v="1711995694"/>
    <s v="ULLOA MONAR FANNY CRISTINA"/>
    <s v="S"/>
    <s v="COMPRA"/>
    <s v="ACTA"/>
    <n v="443"/>
    <s v="LEGALIZADO"/>
    <s v="S"/>
    <s v="S"/>
    <s v="PROVEEDOR VICTOR TELLO SERVICIOS Y COMERCIO RUC 1700505835001 SOFA BIPERSONAL MESA REUNION CIRCULAR 900MM 4P SILLA CHUKUY MESA SALA REUNIONES 12 PER SILLON QHAPAX, OC CE20240002721946 CE20240002721947 CE20240002721948 CE20240002721949 CE2024002721953"/>
    <n v="840103"/>
    <x v="1"/>
    <s v="S"/>
    <d v="2024-11-13T00:00:00"/>
    <d v="2024-11-14T00:00:00"/>
    <d v="2026-02-28T00:00:00"/>
    <n v="10"/>
    <d v="2034-11-11T00:00:00"/>
    <n v="77.77"/>
    <n v="7.78"/>
    <n v="68.709999999999994"/>
    <n v="9.06"/>
    <s v="N"/>
  </r>
  <r>
    <n v="39250324"/>
    <s v=""/>
    <s v="300100280006"/>
    <n v="14"/>
    <s v="BLD"/>
    <s v="MUEBLES DE OFICINA/SILLA/APOYABRAZOS"/>
    <s v="39250324"/>
    <s v="SILLA CHUKUY"/>
    <s v="N/A"/>
    <s v="N"/>
    <m/>
    <n v="77.77"/>
    <s v="N"/>
    <s v="GRIS"/>
    <s v="METALICA NYLON TELA TIPO TEXTERA R"/>
    <s v="35MM Y 60 MM"/>
    <s v="BUENO"/>
    <s v="S"/>
    <s v="APROBADO"/>
    <n v="6"/>
    <s v="PLATAFORMA GUBERNAMENTAL NORTE PISO 7 TORRE VERDE BODEGA DE INVENTARIOS"/>
    <n v="97459"/>
    <s v="PLATAFORMA GUBERNAMENTAL NORTE"/>
    <n v="1709796500"/>
    <s v="GARCES TIPAN TANSHA DEL PILAR"/>
    <s v="S"/>
    <s v="COMPRA"/>
    <s v="ACTA"/>
    <n v="443"/>
    <s v="LEGALIZADO"/>
    <s v="S"/>
    <s v="S"/>
    <s v="PROVEEDOR VICTOR TELLO SERVICIOS Y COMERCIO RUC 1700505835001 SOFA BIPERSONAL MESA REUNION CIRCULAR 900MM 4P SILLA CHUKUY MESA SALA REUNIONES 12 PER SILLON QHAPAX, OC CE20240002721946 CE20240002721947 CE20240002721948 CE20240002721949 CE2024002721953"/>
    <n v="840103"/>
    <x v="1"/>
    <s v="S"/>
    <d v="2024-11-13T00:00:00"/>
    <d v="2024-11-14T00:00:00"/>
    <d v="2026-02-28T00:00:00"/>
    <n v="10"/>
    <d v="2034-11-11T00:00:00"/>
    <n v="77.77"/>
    <n v="7.78"/>
    <n v="68.709999999999994"/>
    <n v="9.06"/>
    <s v="N"/>
  </r>
  <r>
    <n v="39250325"/>
    <s v=""/>
    <s v="300100280006"/>
    <n v="14"/>
    <s v="BLD"/>
    <s v="MUEBLES DE OFICINA/SILLA/APOYABRAZOS"/>
    <s v="39250325"/>
    <s v="SILLA CHUKUY"/>
    <s v="N/A"/>
    <s v="N"/>
    <m/>
    <n v="77.77"/>
    <s v="N"/>
    <s v="GRIS"/>
    <s v="METALICA NYLON TELA TIPO TEXTERA R"/>
    <s v="35MM Y 60 MM"/>
    <s v="BUENO"/>
    <s v="S"/>
    <s v="APROBADO"/>
    <n v="6"/>
    <s v="PLATAFORMA GUBERNAMENTAL NORTE PISO 7 TORRE VERDE BODEGA DE INVENTARIOS"/>
    <n v="97459"/>
    <s v="PLATAFORMA GUBERNAMENTAL NORTE"/>
    <n v="1717662512"/>
    <s v="FLORES FLORES JOFFRE FABIAN"/>
    <s v="S"/>
    <s v="COMPRA"/>
    <s v="ACTA"/>
    <n v="443"/>
    <s v="LEGALIZADO"/>
    <s v="S"/>
    <s v="S"/>
    <s v="PROVEEDOR VICTOR TELLO SERVICIOS Y COMERCIO RUC 1700505835001 SOFA BIPERSONAL MESA REUNION CIRCULAR 900MM 4P SILLA CHUKUY MESA SALA REUNIONES 12 PER SILLON QHAPAX, OC CE20240002721946 CE20240002721947 CE20240002721948 CE20240002721949 CE2024002721953"/>
    <n v="840103"/>
    <x v="1"/>
    <s v="S"/>
    <d v="2024-11-13T00:00:00"/>
    <d v="2024-11-14T00:00:00"/>
    <d v="2026-02-28T00:00:00"/>
    <n v="10"/>
    <d v="2034-11-11T00:00:00"/>
    <n v="77.77"/>
    <n v="7.78"/>
    <n v="68.709999999999994"/>
    <n v="9.06"/>
    <s v="N"/>
  </r>
  <r>
    <n v="39250326"/>
    <s v=""/>
    <s v="300100290002"/>
    <n v="14"/>
    <s v="BLD"/>
    <s v="MUEBLES DE OFICINA/SILLON/NO GIRATORIO"/>
    <s v="39250326"/>
    <s v="SILLON QHAPAX"/>
    <s v="N/A"/>
    <s v="N"/>
    <m/>
    <n v="98.2"/>
    <s v="N"/>
    <s v="NEGRO"/>
    <s v="MADERA CUERINA Y ALUMINIO DE 5 PUNTAS"/>
    <s v="35MM Y 60 MM"/>
    <s v="BUENO"/>
    <s v="S"/>
    <s v="APROBADO"/>
    <n v="6"/>
    <s v="PLATAFORMA GUBERNAMENTAL NORTE PISO 7 TORRE VERDE BODEGA DE INVENTARIOS"/>
    <n v="97459"/>
    <s v="PLATAFORMA GUBERNAMENTAL NORTE"/>
    <n v="102936168"/>
    <s v="DUTAN TAMAYO HUGO ERNESTO"/>
    <s v="S"/>
    <s v="COMPRA"/>
    <s v="ACTA"/>
    <n v="443"/>
    <s v="LEGALIZADO"/>
    <s v="S"/>
    <s v="S"/>
    <s v="PROVEEDOR VICTOR TELLO SERVICIOS Y COMERCIO RUC 1700505835001 SOFA BIPERSONAL MESA REUNION CIRCULAR 900MM 4P SILLA CHUKUY MESA SALA REUNIONES 12 PER SILLON QHAPAX, OC CE20240002721946 CE20240002721947 CE20240002721948 CE20240002721949 CE2024002721953"/>
    <n v="840103"/>
    <x v="1"/>
    <s v="S"/>
    <d v="2024-11-13T00:00:00"/>
    <d v="2024-11-14T00:00:00"/>
    <d v="2026-02-28T00:00:00"/>
    <n v="10"/>
    <d v="2034-11-11T00:00:00"/>
    <n v="98.2"/>
    <n v="9.82"/>
    <n v="86.76"/>
    <n v="11.44"/>
    <s v="N"/>
  </r>
  <r>
    <n v="39250327"/>
    <s v=""/>
    <s v="300100300002"/>
    <n v="14"/>
    <s v="BLD"/>
    <s v="MUEBLES DE OFICINA/SOFA/BIPERSONAL"/>
    <s v="39250327"/>
    <s v="SOFÁ BIPERSONAL"/>
    <s v="N/A"/>
    <s v="N"/>
    <m/>
    <n v="129.9"/>
    <s v="N"/>
    <s v="GRIS"/>
    <s v="MADERA POLIURETANO CUERINA"/>
    <s v="TIPO L 150MM X 30MM CON 5MM DE ESPESOR"/>
    <s v="BUENO"/>
    <s v="S"/>
    <s v="APROBADO"/>
    <n v="6"/>
    <s v="PLATAFORMA GUBERNAMENTAL NORTE PISO 7 TORRE VERDE BODEGA DE INVENTARIOS"/>
    <n v="97459"/>
    <s v="PLATAFORMA GUBERNAMENTAL NORTE"/>
    <n v="1716349814"/>
    <s v="RICAURTE MOSQUERA JOSHUA FELIPE"/>
    <s v="S"/>
    <s v="COMPRA"/>
    <s v="ACTA"/>
    <n v="443"/>
    <s v="LEGALIZADO"/>
    <s v="S"/>
    <s v="S"/>
    <s v="PROVEEDOR VICTOR TELLO SERVICIOS Y COMERCIO RUC 1700505835001 SOFA BIPERSONAL MESA REUNION CIRCULAR 900MM 4P SILLA CHUKUY MESA SALA REUNIONES 12 PER SILLON QHAPAX, OC CE20240002721946 CE20240002721947 CE20240002721948 CE20240002721949 CE2024002721953"/>
    <n v="840103"/>
    <x v="1"/>
    <s v="S"/>
    <d v="2024-11-13T00:00:00"/>
    <d v="2024-11-14T00:00:00"/>
    <d v="2026-02-28T00:00:00"/>
    <n v="10"/>
    <d v="2034-11-11T00:00:00"/>
    <n v="129.9"/>
    <n v="12.99"/>
    <n v="114.81"/>
    <n v="15.09"/>
    <s v="N"/>
  </r>
  <r>
    <n v="39250328"/>
    <s v=""/>
    <s v="300100410003"/>
    <n v="14"/>
    <s v="BLD"/>
    <s v="MUEBLES DE OFICINA/MESA DE REUNION/MIXTA"/>
    <s v="39250328"/>
    <s v="MESA SALA DE REUNIONES 12 PERSONAS"/>
    <s v="N/A"/>
    <s v="N"/>
    <m/>
    <n v="919"/>
    <s v="N"/>
    <s v="WENGUE"/>
    <s v="AGLOMERADO DE 15 MM Y RECUBIERTA CON LAMINADO"/>
    <s v="SUPERFICIE 3400MM X 1500MM"/>
    <s v="BUENO"/>
    <s v="S"/>
    <s v="APROBADO"/>
    <n v="6"/>
    <s v="PLATAFORMA GUBERNAMENTAL NORTE PISO 7 TORRE VERDE BODEGA DE INVENTARIOS"/>
    <n v="97459"/>
    <s v="PLATAFORMA GUBERNAMENTAL NORTE"/>
    <n v="1725514309"/>
    <s v="HURTADO JACOME GISSELA VIVIANA"/>
    <s v="S"/>
    <s v="COMPRA"/>
    <s v="ACTA"/>
    <n v="443"/>
    <s v="LEGALIZADO"/>
    <s v="S"/>
    <s v="S"/>
    <s v="PROVEEDOR VICTOR TELLO SERVICIOS Y COMERCIO RUC 1700505835001 SOFA BIPERSONAL MESA REUNION CIRCULAR 900MM 4P SILLA CHUKUY MESA SALA REUNIONES 12 PER SILLON QHAPAX, OC CE20240002721946 CE20240002721947 CE20240002721948 CE20240002721949 CE2024002721953"/>
    <n v="840103"/>
    <x v="1"/>
    <s v="S"/>
    <d v="2024-11-13T00:00:00"/>
    <d v="2024-11-14T00:00:00"/>
    <d v="2026-02-28T00:00:00"/>
    <n v="10"/>
    <d v="2034-11-11T00:00:00"/>
    <n v="919"/>
    <n v="91.9"/>
    <n v="812.07"/>
    <n v="106.93"/>
    <s v="N"/>
  </r>
  <r>
    <n v="39255007"/>
    <s v=""/>
    <s v="300100290001"/>
    <n v="15"/>
    <s v="BLD"/>
    <s v="MUEBLES DE OFICINA/SILLON/GIRATORIO"/>
    <s v="39255007"/>
    <s v="SILLON QHAPAX VISITA"/>
    <s v="N/A"/>
    <s v="N"/>
    <m/>
    <n v="87.77"/>
    <s v="N"/>
    <s v="NEGRO"/>
    <s v="Madera terciada ,POLIURETANO Tela tipo TEXTURA"/>
    <s v="ASIENTO Y ESPALDAR: Inyectable e=60mm"/>
    <s v="BUENO"/>
    <s v="S"/>
    <s v="APROBADO"/>
    <n v="6"/>
    <s v="PLATAFORMA GUBERNAMENTAL NORTE PISO 7 TORRE VERDE BODEGA DE INVENTARIOS"/>
    <n v="97459"/>
    <s v="PLATAFORMA GUBERNAMENTAL NORTE"/>
    <n v="1725514309"/>
    <s v="HURTADO JACOME GISSELA VIVIANA"/>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87.77"/>
    <n v="8.7799999999999994"/>
    <n v="77.569999999999993"/>
    <n v="10.199999999999999"/>
    <s v="N"/>
  </r>
  <r>
    <n v="39255008"/>
    <s v=""/>
    <s v="300100290001"/>
    <n v="15"/>
    <s v="BLD"/>
    <s v="MUEBLES DE OFICINA/SILLON/GIRATORIO"/>
    <s v="39255008"/>
    <s v="SILLON QHAPAX VISITA"/>
    <s v="N/A"/>
    <s v="N"/>
    <m/>
    <n v="87.77"/>
    <s v="N"/>
    <s v="NEGRO"/>
    <s v="Madera terciada ,POLIURETANO Tela tipo TEXTURA"/>
    <s v="ASIENTO Y ESPALDAR: Inyectable e=60mm"/>
    <s v="BUENO"/>
    <s v="S"/>
    <s v="APROBADO"/>
    <n v="6"/>
    <s v="PLATAFORMA GUBERNAMENTAL NORTE PISO 7 TORRE VERDE BODEGA DE INVENTARIOS"/>
    <n v="97459"/>
    <s v="PLATAFORMA GUBERNAMENTAL NORTE"/>
    <n v="1725514309"/>
    <s v="HURTADO JACOME GISSELA VIVIANA"/>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87.77"/>
    <n v="8.7799999999999994"/>
    <n v="77.569999999999993"/>
    <n v="10.199999999999999"/>
    <s v="N"/>
  </r>
  <r>
    <n v="39255009"/>
    <s v=""/>
    <s v="300100290001"/>
    <n v="15"/>
    <s v="BLD"/>
    <s v="MUEBLES DE OFICINA/SILLON/GIRATORIO"/>
    <s v="39255009"/>
    <s v="SILLON QHAPAX VISITA"/>
    <s v="N/A"/>
    <s v="N"/>
    <m/>
    <n v="87.77"/>
    <s v="N"/>
    <s v="NEGRO"/>
    <s v="Madera terciada ,POLIURETANO Tela tipo TEXTURA"/>
    <s v="ASIENTO Y ESPALDAR: Inyectable e=60mm"/>
    <s v="BUENO"/>
    <s v="S"/>
    <s v="APROBADO"/>
    <n v="6"/>
    <s v="PLATAFORMA GUBERNAMENTAL NORTE PISO 7 TORRE VERDE BODEGA DE INVENTARIOS"/>
    <n v="97459"/>
    <s v="PLATAFORMA GUBERNAMENTAL NORTE"/>
    <n v="1725514309"/>
    <s v="HURTADO JACOME GISSELA VIVIANA"/>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87.77"/>
    <n v="8.7799999999999994"/>
    <n v="77.569999999999993"/>
    <n v="10.199999999999999"/>
    <s v="N"/>
  </r>
  <r>
    <n v="39255010"/>
    <s v=""/>
    <s v="300100290001"/>
    <n v="15"/>
    <s v="BLD"/>
    <s v="MUEBLES DE OFICINA/SILLON/GIRATORIO"/>
    <s v="39255010"/>
    <s v="SILLON QHAPAX VISITA"/>
    <s v="N/A"/>
    <s v="N"/>
    <m/>
    <n v="87.77"/>
    <s v="N"/>
    <s v="NEGRO"/>
    <s v="Madera terciada ,POLIURETANO Tela tipo TEXTURA"/>
    <s v="ASIENTO Y ESPALDAR: Inyectable e=60mm"/>
    <s v="BUENO"/>
    <s v="S"/>
    <s v="APROBADO"/>
    <n v="6"/>
    <s v="PLATAFORMA GUBERNAMENTAL NORTE PISO 7 TORRE VERDE BODEGA DE INVENTARIOS"/>
    <n v="97459"/>
    <s v="PLATAFORMA GUBERNAMENTAL NORTE"/>
    <n v="1725514309"/>
    <s v="HURTADO JACOME GISSELA VIVIANA"/>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87.77"/>
    <n v="8.7799999999999994"/>
    <n v="77.569999999999993"/>
    <n v="10.199999999999999"/>
    <s v="N"/>
  </r>
  <r>
    <n v="39255011"/>
    <s v=""/>
    <s v="300100290001"/>
    <n v="15"/>
    <s v="BLD"/>
    <s v="MUEBLES DE OFICINA/SILLON/GIRATORIO"/>
    <s v="39255011"/>
    <s v="SILLON QHAPAX VISITA"/>
    <s v="N/A"/>
    <s v="N"/>
    <m/>
    <n v="87.77"/>
    <s v="N"/>
    <s v="NEGRO"/>
    <s v="Madera terciada ,POLIURETANO Tela tipo TEXTURA"/>
    <s v="ASIENTO Y ESPALDAR: Inyectable e=60mm"/>
    <s v="BUENO"/>
    <s v="S"/>
    <s v="APROBADO"/>
    <n v="6"/>
    <s v="PLATAFORMA GUBERNAMENTAL NORTE PISO 7 TORRE VERDE BODEGA DE INVENTARIOS"/>
    <n v="97459"/>
    <s v="PLATAFORMA GUBERNAMENTAL NORTE"/>
    <n v="1725514309"/>
    <s v="HURTADO JACOME GISSELA VIVIANA"/>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87.77"/>
    <n v="8.7799999999999994"/>
    <n v="77.569999999999993"/>
    <n v="10.199999999999999"/>
    <s v="N"/>
  </r>
  <r>
    <n v="39255012"/>
    <s v=""/>
    <s v="300100290001"/>
    <n v="15"/>
    <s v="BLD"/>
    <s v="MUEBLES DE OFICINA/SILLON/GIRATORIO"/>
    <s v="39255012"/>
    <s v="SILLON QHAPAX VISITA"/>
    <s v="N/A"/>
    <s v="N"/>
    <m/>
    <n v="87.77"/>
    <s v="N"/>
    <s v="NEGRO"/>
    <s v="Madera terciada ,POLIURETANO Tela tipo TEXTURA"/>
    <s v="ASIENTO Y ESPALDAR: Inyectable e=60mm"/>
    <s v="BUENO"/>
    <s v="S"/>
    <s v="APROBADO"/>
    <n v="6"/>
    <s v="PLATAFORMA GUBERNAMENTAL NORTE PISO 7 TORRE VERDE BODEGA DE INVENTARIOS"/>
    <n v="97459"/>
    <s v="PLATAFORMA GUBERNAMENTAL NORTE"/>
    <n v="1725514309"/>
    <s v="HURTADO JACOME GISSELA VIVIANA"/>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87.77"/>
    <n v="8.7799999999999994"/>
    <n v="77.569999999999993"/>
    <n v="10.199999999999999"/>
    <s v="N"/>
  </r>
  <r>
    <n v="39255013"/>
    <s v=""/>
    <s v="300100290001"/>
    <n v="15"/>
    <s v="BLD"/>
    <s v="MUEBLES DE OFICINA/SILLON/GIRATORIO"/>
    <s v="39255013"/>
    <s v="SILLON QHAPAX VISITA"/>
    <s v="N/A"/>
    <s v="N"/>
    <m/>
    <n v="87.77"/>
    <s v="N"/>
    <s v="NEGRO"/>
    <s v="Madera terciada ,POLIURETANO Tela tipo TEXTURA"/>
    <s v="ASIENTO Y ESPALDAR: Inyectable e=60mm"/>
    <s v="BUENO"/>
    <s v="S"/>
    <s v="APROBADO"/>
    <n v="6"/>
    <s v="PLATAFORMA GUBERNAMENTAL NORTE PISO 7 TORRE VERDE BODEGA DE INVENTARIOS"/>
    <n v="97459"/>
    <s v="PLATAFORMA GUBERNAMENTAL NORTE"/>
    <n v="1725514309"/>
    <s v="HURTADO JACOME GISSELA VIVIANA"/>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87.77"/>
    <n v="8.7799999999999994"/>
    <n v="77.569999999999993"/>
    <n v="10.199999999999999"/>
    <s v="N"/>
  </r>
  <r>
    <n v="39255014"/>
    <s v=""/>
    <s v="300100290001"/>
    <n v="15"/>
    <s v="BLD"/>
    <s v="MUEBLES DE OFICINA/SILLON/GIRATORIO"/>
    <s v="39255014"/>
    <s v="SILLON QHAPAX VISITA"/>
    <s v="N/A"/>
    <s v="N"/>
    <m/>
    <n v="87.77"/>
    <s v="N"/>
    <s v="NEGRO"/>
    <s v="Madera terciada ,POLIURETANO Tela tipo TEXTURA"/>
    <s v="ASIENTO Y ESPALDAR: Inyectable e=60mm"/>
    <s v="BUENO"/>
    <s v="S"/>
    <s v="APROBADO"/>
    <n v="6"/>
    <s v="PLATAFORMA GUBERNAMENTAL NORTE PISO 7 TORRE VERDE BODEGA DE INVENTARIOS"/>
    <n v="97459"/>
    <s v="PLATAFORMA GUBERNAMENTAL NORTE"/>
    <n v="1725514309"/>
    <s v="HURTADO JACOME GISSELA VIVIANA"/>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87.77"/>
    <n v="8.7799999999999994"/>
    <n v="77.569999999999993"/>
    <n v="10.199999999999999"/>
    <s v="N"/>
  </r>
  <r>
    <n v="39255015"/>
    <s v=""/>
    <s v="300100290001"/>
    <n v="15"/>
    <s v="BLD"/>
    <s v="MUEBLES DE OFICINA/SILLON/GIRATORIO"/>
    <s v="39255015"/>
    <s v="SILLON QHAPAX VISITA"/>
    <s v="N/A"/>
    <s v="N"/>
    <m/>
    <n v="87.77"/>
    <s v="N"/>
    <s v="NEGRO"/>
    <s v="Madera terciada ,POLIURETANO Tela tipo TEXTURA"/>
    <s v="ASIENTO Y ESPALDAR: Inyectable e=60mm"/>
    <s v="BUENO"/>
    <s v="S"/>
    <s v="APROBADO"/>
    <n v="6"/>
    <s v="PLATAFORMA GUBERNAMENTAL NORTE PISO 7 TORRE VERDE BODEGA DE INVENTARIOS"/>
    <n v="97459"/>
    <s v="PLATAFORMA GUBERNAMENTAL NORTE"/>
    <n v="1725514309"/>
    <s v="HURTADO JACOME GISSELA VIVIANA"/>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87.77"/>
    <n v="8.7799999999999994"/>
    <n v="77.569999999999993"/>
    <n v="10.199999999999999"/>
    <s v="N"/>
  </r>
  <r>
    <n v="39255016"/>
    <s v=""/>
    <s v="300100290001"/>
    <n v="15"/>
    <s v="BLD"/>
    <s v="MUEBLES DE OFICINA/SILLON/GIRATORIO"/>
    <s v="39255016"/>
    <s v="SILLON QHAPAX VISITA"/>
    <s v="N/A"/>
    <s v="N"/>
    <m/>
    <n v="87.77"/>
    <s v="N"/>
    <s v="NEGRO"/>
    <s v="Madera terciada ,POLIURETANO Tela tipo TEXTURA"/>
    <s v="ASIENTO Y ESPALDAR: Inyectable e=60mm"/>
    <s v="BUENO"/>
    <s v="S"/>
    <s v="APROBADO"/>
    <n v="6"/>
    <s v="PLATAFORMA GUBERNAMENTAL NORTE PISO 7 TORRE VERDE BODEGA DE INVENTARIOS"/>
    <n v="97459"/>
    <s v="PLATAFORMA GUBERNAMENTAL NORTE"/>
    <n v="1725514309"/>
    <s v="HURTADO JACOME GISSELA VIVIANA"/>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87.77"/>
    <n v="8.7799999999999994"/>
    <n v="77.569999999999993"/>
    <n v="10.199999999999999"/>
    <s v="N"/>
  </r>
  <r>
    <n v="39255017"/>
    <s v=""/>
    <s v="300100290001"/>
    <n v="15"/>
    <s v="BLD"/>
    <s v="MUEBLES DE OFICINA/SILLON/GIRATORIO"/>
    <s v="39255017"/>
    <s v="SILLON QHAPAX VISITA"/>
    <s v=""/>
    <s v="N"/>
    <m/>
    <n v="87.77"/>
    <s v="N"/>
    <s v="NEGRO"/>
    <s v="Madera terciada ,POLIURETANO Tela tipo TEXTURA"/>
    <s v="ASIENTO Y ESPALDAR: Inyectable e=60mm"/>
    <s v="BUENO"/>
    <s v="S"/>
    <s v="APROBADO"/>
    <n v="6"/>
    <s v="PLATAFORMA GUBERNAMENTAL NORTE PISO 7 TORRE VERDE BODEGA DE INVENTARIOS"/>
    <n v="97459"/>
    <s v="PLATAFORMA GUBERNAMENTAL NORTE"/>
    <n v="1725514309"/>
    <s v="HURTADO JACOME GISSELA VIVIANA"/>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87.77"/>
    <n v="8.7799999999999994"/>
    <n v="77.569999999999993"/>
    <n v="10.199999999999999"/>
    <s v="N"/>
  </r>
  <r>
    <n v="39255018"/>
    <s v=""/>
    <s v="300100290001"/>
    <n v="15"/>
    <s v="BLD"/>
    <s v="MUEBLES DE OFICINA/SILLON/GIRATORIO"/>
    <s v="39255018"/>
    <s v="SILLON QHAPAX VISITA"/>
    <s v="N/A"/>
    <s v="N"/>
    <m/>
    <n v="87.77"/>
    <s v="N"/>
    <s v="NEGRO"/>
    <s v="Madera terciada ,POLIURETANO Tela tipo TEXTURA"/>
    <s v="ASIENTO Y ESPALDAR: Inyectable e=60mm"/>
    <s v="BUENO"/>
    <s v="S"/>
    <s v="APROBADO"/>
    <n v="6"/>
    <s v="PLATAFORMA GUBERNAMENTAL NORTE PISO 7 TORRE VERDE BODEGA DE INVENTARIOS"/>
    <n v="97459"/>
    <s v="PLATAFORMA GUBERNAMENTAL NORTE"/>
    <n v="1725514309"/>
    <s v="HURTADO JACOME GISSELA VIVIANA"/>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87.77"/>
    <n v="8.7799999999999994"/>
    <n v="77.569999999999993"/>
    <n v="10.199999999999999"/>
    <s v="N"/>
  </r>
  <r>
    <n v="39255019"/>
    <s v=""/>
    <s v="300100280007"/>
    <n v="15"/>
    <s v="BLD"/>
    <s v="MUEBLES DE OFICINA/SILLA/ESTATICA"/>
    <s v="39255019"/>
    <s v="SILLA DE VISITA"/>
    <s v="N/A"/>
    <s v="N"/>
    <m/>
    <n v="22.98"/>
    <s v="N"/>
    <s v="GRIS"/>
    <s v="Madera terciada ,POLIURETANO Tela tipo TEXTURA"/>
    <s v="ASIENTO Y ESPALDAR: Inyectable e=60mm"/>
    <s v="BUENO"/>
    <s v="S"/>
    <s v="APROBADO"/>
    <n v="6"/>
    <s v="PLATAFORMA GUBERNAMENTAL NORTE PISO 7 TORRE VERDE BODEGA DE INVENTARIOS"/>
    <n v="97459"/>
    <s v="PLATAFORMA GUBERNAMENTAL NORTE"/>
    <n v="1711995694"/>
    <s v="ULLOA MONAR FANNY CRISTINA"/>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22.98"/>
    <n v="2.2999999999999998"/>
    <n v="20.29"/>
    <n v="2.69"/>
    <s v="N"/>
  </r>
  <r>
    <n v="39255020"/>
    <s v=""/>
    <s v="300100280007"/>
    <n v="15"/>
    <s v="BLD"/>
    <s v="MUEBLES DE OFICINA/SILLA/ESTATICA"/>
    <s v="39255020"/>
    <s v="SILLA DE VISITA"/>
    <s v="N/A"/>
    <s v="N"/>
    <m/>
    <n v="22.98"/>
    <s v="N"/>
    <s v="GRIS"/>
    <s v="Madera terciada ,POLIURETANO Tela tipo TEXTURA"/>
    <s v="ASIENTO Y ESPALDAR: Inyectable e=60mm"/>
    <s v="BUENO"/>
    <s v="S"/>
    <s v="APROBADO"/>
    <n v="6"/>
    <s v="PLATAFORMA GUBERNAMENTAL NORTE PISO 7 TORRE VERDE BODEGA DE INVENTARIOS"/>
    <n v="97459"/>
    <s v="PLATAFORMA GUBERNAMENTAL NORTE"/>
    <n v="103542908"/>
    <s v="MACHUCA PALACIOS SONIA VERONICA"/>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22.98"/>
    <n v="2.2999999999999998"/>
    <n v="20.29"/>
    <n v="2.69"/>
    <s v="N"/>
  </r>
  <r>
    <n v="39255021"/>
    <s v=""/>
    <s v="300100280007"/>
    <n v="15"/>
    <s v="BLD"/>
    <s v="MUEBLES DE OFICINA/SILLA/ESTATICA"/>
    <s v="39255021"/>
    <s v="SILLA DE VISITA"/>
    <s v="N/A"/>
    <s v="N"/>
    <m/>
    <n v="22.98"/>
    <s v="N"/>
    <s v="GRIS"/>
    <s v="Madera terciada ,POLIURETANO Tela tipo TEXTURA"/>
    <s v="ASIENTO Y ESPALDAR: Inyectable e=60mm"/>
    <s v="BUENO"/>
    <s v="S"/>
    <s v="APROBADO"/>
    <n v="6"/>
    <s v="PLATAFORMA GUBERNAMENTAL NORTE PISO 7 TORRE VERDE BODEGA DE INVENTARIOS"/>
    <n v="97459"/>
    <s v="PLATAFORMA GUBERNAMENTAL NORTE"/>
    <n v="103542908"/>
    <s v="MACHUCA PALACIOS SONIA VERONICA"/>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22.98"/>
    <n v="2.2999999999999998"/>
    <n v="20.29"/>
    <n v="2.69"/>
    <s v="N"/>
  </r>
  <r>
    <n v="39255022"/>
    <s v=""/>
    <s v="300100280007"/>
    <n v="15"/>
    <s v="BLD"/>
    <s v="MUEBLES DE OFICINA/SILLA/ESTATICA"/>
    <s v="39255022"/>
    <s v="SILLA DE VISITA"/>
    <s v="N/A"/>
    <s v="N"/>
    <m/>
    <n v="22.98"/>
    <s v="N"/>
    <s v="GRIS"/>
    <s v="Madera terciada ,POLIURETANO Tela tipo TEXTURA"/>
    <s v="ASIENTO Y ESPALDAR: Inyectable e=60mm"/>
    <s v="BUENO"/>
    <s v="S"/>
    <s v="APROBADO"/>
    <n v="6"/>
    <s v="PLATAFORMA GUBERNAMENTAL NORTE PISO 7 TORRE VERDE BODEGA DE INVENTARIOS"/>
    <n v="97459"/>
    <s v="PLATAFORMA GUBERNAMENTAL NORTE"/>
    <n v="103542908"/>
    <s v="MACHUCA PALACIOS SONIA VERONICA"/>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22.98"/>
    <n v="2.2999999999999998"/>
    <n v="20.29"/>
    <n v="2.69"/>
    <s v="N"/>
  </r>
  <r>
    <n v="39255023"/>
    <s v=""/>
    <s v="300100280007"/>
    <n v="15"/>
    <s v="BLD"/>
    <s v="MUEBLES DE OFICINA/SILLA/ESTATICA"/>
    <s v="39255023"/>
    <s v="SILLA DE VISITA"/>
    <s v="N/A"/>
    <s v="N"/>
    <m/>
    <n v="22.98"/>
    <s v="N"/>
    <s v="GRIS"/>
    <s v="Madera terciada ,POLIURETANO Tela tipo TEXTURA"/>
    <s v="ASIENTO Y ESPALDAR: Inyectable e=60mm"/>
    <s v="BUENO"/>
    <s v="S"/>
    <s v="APROBADO"/>
    <n v="6"/>
    <s v="PLATAFORMA GUBERNAMENTAL NORTE PISO 7 TORRE VERDE BODEGA DE INVENTARIOS"/>
    <n v="97459"/>
    <s v="PLATAFORMA GUBERNAMENTAL NORTE"/>
    <n v="1711995694"/>
    <s v="ULLOA MONAR FANNY CRISTINA"/>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22.98"/>
    <n v="2.2999999999999998"/>
    <n v="20.29"/>
    <n v="2.69"/>
    <s v="N"/>
  </r>
  <r>
    <n v="39255024"/>
    <s v=""/>
    <s v="300100280007"/>
    <n v="15"/>
    <s v="BLD"/>
    <s v="MUEBLES DE OFICINA/SILLA/ESTATICA"/>
    <s v="39255024"/>
    <s v="SILLA DE VISITA"/>
    <s v="N/A"/>
    <s v="N"/>
    <m/>
    <n v="22.98"/>
    <s v="N"/>
    <s v="GRIS"/>
    <s v="Madera terciada ,POLIURETANO Tela tipo TEXTURA"/>
    <s v="ASIENTO Y ESPALDAR: Inyectable e=60mm"/>
    <s v="BUENO"/>
    <s v="S"/>
    <s v="APROBADO"/>
    <n v="6"/>
    <s v="PLATAFORMA GUBERNAMENTAL NORTE PISO 7 TORRE VERDE BODEGA DE INVENTARIOS"/>
    <n v="97459"/>
    <s v="PLATAFORMA GUBERNAMENTAL NORTE"/>
    <n v="103542908"/>
    <s v="MACHUCA PALACIOS SONIA VERONICA"/>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22.98"/>
    <n v="2.2999999999999998"/>
    <n v="20.29"/>
    <n v="2.69"/>
    <s v="N"/>
  </r>
  <r>
    <n v="39255025"/>
    <s v=""/>
    <s v="300100280007"/>
    <n v="15"/>
    <s v="BLD"/>
    <s v="MUEBLES DE OFICINA/SILLA/ESTATICA"/>
    <s v="39255025"/>
    <s v="SILLA DE VISITA"/>
    <s v="N/A"/>
    <s v="N"/>
    <m/>
    <n v="22.98"/>
    <s v="N"/>
    <s v="GRIS"/>
    <s v="Madera terciada ,POLIURETANO Tela tipo TEXTURA"/>
    <s v="ASIENTO Y ESPALDAR: Inyectable e=60mm"/>
    <s v="BUENO"/>
    <s v="S"/>
    <s v="APROBADO"/>
    <n v="6"/>
    <s v="PLATAFORMA GUBERNAMENTAL NORTE PISO 7 TORRE VERDE BODEGA DE INVENTARIOS"/>
    <n v="97459"/>
    <s v="PLATAFORMA GUBERNAMENTAL NORTE"/>
    <n v="103542908"/>
    <s v="MACHUCA PALACIOS SONIA VERONICA"/>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22.98"/>
    <n v="2.2999999999999998"/>
    <n v="20.29"/>
    <n v="2.69"/>
    <s v="N"/>
  </r>
  <r>
    <n v="39255026"/>
    <s v=""/>
    <s v="300100280007"/>
    <n v="15"/>
    <s v="BLD"/>
    <s v="MUEBLES DE OFICINA/SILLA/ESTATICA"/>
    <s v="39255026"/>
    <s v="SILLA DE VISITA"/>
    <s v="N/A"/>
    <s v="N"/>
    <m/>
    <n v="22.98"/>
    <s v="N"/>
    <s v="GRIS"/>
    <s v="Madera terciada ,POLIURETANO Tela tipo TEXTURA"/>
    <s v="ASIENTO Y ESPALDAR: Inyectable e=60mm"/>
    <s v="BUENO"/>
    <s v="S"/>
    <s v="APROBADO"/>
    <n v="6"/>
    <s v="PLATAFORMA GUBERNAMENTAL NORTE PISO 7 TORRE VERDE BODEGA DE INVENTARIOS"/>
    <n v="97459"/>
    <s v="PLATAFORMA GUBERNAMENTAL NORTE"/>
    <n v="1711995694"/>
    <s v="ULLOA MONAR FANNY CRISTINA"/>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22.98"/>
    <n v="2.2999999999999998"/>
    <n v="20.29"/>
    <n v="2.69"/>
    <s v="N"/>
  </r>
  <r>
    <n v="39255027"/>
    <s v=""/>
    <s v="300100280007"/>
    <n v="15"/>
    <s v="BLD"/>
    <s v="MUEBLES DE OFICINA/SILLA/ESTATICA"/>
    <s v="39255027"/>
    <s v="SILLA DE VISITA"/>
    <s v="N/A"/>
    <s v="N"/>
    <m/>
    <n v="22.98"/>
    <s v="N"/>
    <s v="GRIS"/>
    <s v="Madera terciada ,POLIURETANO Tela tipo TEXTURA"/>
    <s v="ASIENTO Y ESPALDAR: Inyectable e=60mm"/>
    <s v="BUENO"/>
    <s v="S"/>
    <s v="APROBADO"/>
    <n v="6"/>
    <s v="PLATAFORMA GUBERNAMENTAL NORTE PISO 7 TORRE VERDE BODEGA DE INVENTARIOS"/>
    <n v="97459"/>
    <s v="PLATAFORMA GUBERNAMENTAL NORTE"/>
    <n v="1717662512"/>
    <s v="FLORES FLORES JOFFRE FABIAN"/>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22.98"/>
    <n v="2.2999999999999998"/>
    <n v="20.29"/>
    <n v="2.69"/>
    <s v="N"/>
  </r>
  <r>
    <n v="39255028"/>
    <s v=""/>
    <s v="300100280007"/>
    <n v="15"/>
    <s v="BLD"/>
    <s v="MUEBLES DE OFICINA/SILLA/ESTATICA"/>
    <s v="39255028"/>
    <s v="SILLA DE VISITA"/>
    <s v="N/A"/>
    <s v="N"/>
    <m/>
    <n v="22.98"/>
    <s v="N"/>
    <s v="GRIS"/>
    <s v="Madera terciada ,POLIURETANO Tela tipo TEXTURA"/>
    <s v="ASIENTO Y ESPALDAR: Inyectable e=60mm"/>
    <s v="BUENO"/>
    <s v="S"/>
    <s v="APROBADO"/>
    <n v="6"/>
    <s v="PLATAFORMA GUBERNAMENTAL NORTE PISO 7 TORRE VERDE BODEGA DE INVENTARIOS"/>
    <n v="97459"/>
    <s v="PLATAFORMA GUBERNAMENTAL NORTE"/>
    <n v="1717662512"/>
    <s v="FLORES FLORES JOFFRE FABIAN"/>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22.98"/>
    <n v="2.2999999999999998"/>
    <n v="20.29"/>
    <n v="2.69"/>
    <s v="N"/>
  </r>
  <r>
    <n v="39255029"/>
    <s v=""/>
    <s v="300100280007"/>
    <n v="15"/>
    <s v="BLD"/>
    <s v="MUEBLES DE OFICINA/SILLA/ESTATICA"/>
    <s v="39255029"/>
    <s v="SILLA DE VISITA"/>
    <s v="N/A"/>
    <s v="N"/>
    <m/>
    <n v="22.98"/>
    <s v="N"/>
    <s v="GRIS"/>
    <s v="Madera terciada ,POLIURETANO Tela tipo TEXTURA"/>
    <s v="ASIENTO Y ESPALDAR: Inyectable e=60mm"/>
    <s v="BUENO"/>
    <s v="S"/>
    <s v="APROBADO"/>
    <n v="6"/>
    <s v="PLATAFORMA GUBERNAMENTAL NORTE PISO 7 TORRE VERDE BODEGA DE INVENTARIOS"/>
    <n v="97459"/>
    <s v="PLATAFORMA GUBERNAMENTAL NORTE"/>
    <n v="1723600886"/>
    <s v="ORTEGA QUINTE SHIRLEY NICOLE"/>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22.98"/>
    <n v="2.2999999999999998"/>
    <n v="20.29"/>
    <n v="2.69"/>
    <s v="N"/>
  </r>
  <r>
    <n v="39255030"/>
    <s v=""/>
    <s v="300100280007"/>
    <n v="15"/>
    <s v="BLD"/>
    <s v="MUEBLES DE OFICINA/SILLA/ESTATICA"/>
    <s v="39255030"/>
    <s v="SILLA DE VISITA"/>
    <s v="N/A"/>
    <s v="N"/>
    <m/>
    <n v="22.98"/>
    <s v="N"/>
    <s v="GRIS"/>
    <s v="Madera terciada ,POLIURETANO Tela tipo TEXTURA"/>
    <s v="ASIENTO Y ESPALDAR: Inyectable e=60mm"/>
    <s v="BUENO"/>
    <s v="S"/>
    <s v="APROBADO"/>
    <n v="6"/>
    <s v="PLATAFORMA GUBERNAMENTAL NORTE PISO 7 TORRE VERDE BODEGA DE INVENTARIOS"/>
    <n v="97459"/>
    <s v="PLATAFORMA GUBERNAMENTAL NORTE"/>
    <n v="1711995694"/>
    <s v="ULLOA MONAR FANNY CRISTINA"/>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22.98"/>
    <n v="2.2999999999999998"/>
    <n v="20.29"/>
    <n v="2.69"/>
    <s v="N"/>
  </r>
  <r>
    <n v="39255031"/>
    <s v=""/>
    <s v="300100280007"/>
    <n v="15"/>
    <s v="BLD"/>
    <s v="MUEBLES DE OFICINA/SILLA/ESTATICA"/>
    <s v="39255031"/>
    <s v="SILLA DE VISITA"/>
    <s v="N/A"/>
    <s v="N"/>
    <m/>
    <n v="22.98"/>
    <s v="N"/>
    <s v="GRIS"/>
    <s v="Madera terciada ,POLIURETANO Tela tipo TEXTURA"/>
    <s v="ASIENTO Y ESPALDAR: Inyectable e=60mm"/>
    <s v="BUENO"/>
    <s v="S"/>
    <s v="APROBADO"/>
    <n v="6"/>
    <s v="PLATAFORMA GUBERNAMENTAL NORTE PISO 7 TORRE VERDE BODEGA DE INVENTARIOS"/>
    <n v="97459"/>
    <s v="PLATAFORMA GUBERNAMENTAL NORTE"/>
    <n v="1003429584"/>
    <s v="ALVAREZ COBA ELVA TATIANA"/>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22.98"/>
    <n v="2.2999999999999998"/>
    <n v="20.29"/>
    <n v="2.69"/>
    <s v="N"/>
  </r>
  <r>
    <n v="39255032"/>
    <s v=""/>
    <s v="300100280007"/>
    <n v="15"/>
    <s v="BLD"/>
    <s v="MUEBLES DE OFICINA/SILLA/ESTATICA"/>
    <s v="39255032"/>
    <s v="SILLA DE VISITA"/>
    <s v="N/A"/>
    <s v="N"/>
    <m/>
    <n v="22.98"/>
    <s v="N"/>
    <s v="GRIS"/>
    <s v="Madera terciada ,POLIURETANO Tela tipo TEXTURA"/>
    <s v="ASIENTO Y ESPALDAR: Inyectable e=60mm"/>
    <s v="BUENO"/>
    <s v="S"/>
    <s v="APROBADO"/>
    <n v="6"/>
    <s v="PLATAFORMA GUBERNAMENTAL NORTE PISO 7 TORRE VERDE BODEGA DE INVENTARIOS"/>
    <n v="97459"/>
    <s v="PLATAFORMA GUBERNAMENTAL NORTE"/>
    <n v="102936168"/>
    <s v="DUTAN TAMAYO HUGO ERNESTO"/>
    <s v="S"/>
    <s v="COMPRA"/>
    <s v="ACTA"/>
    <n v="443"/>
    <s v="LEGALIZADO"/>
    <s v="S"/>
    <s v="S"/>
    <s v="PROVEEDOR VICTOR TELLO SERVICIOS Y COMERCIO RUC 1700505835001, SILLA DE VISITA, SILLON QHAPAX VISITA, SILLATIYAKUY, OC CE20240002721945 CE20240002721950 CE20240002721954"/>
    <n v="840103"/>
    <x v="1"/>
    <s v="S"/>
    <d v="2024-11-14T00:00:00"/>
    <d v="2024-11-14T00:00:00"/>
    <d v="2026-02-28T00:00:00"/>
    <n v="10"/>
    <d v="2034-11-11T00:00:00"/>
    <n v="22.98"/>
    <n v="2.2999999999999998"/>
    <n v="20.28"/>
    <n v="2.7"/>
    <s v="N"/>
  </r>
  <r>
    <n v="39255033"/>
    <s v=""/>
    <s v="300100280007"/>
    <n v="15"/>
    <s v="BLD"/>
    <s v="MUEBLES DE OFICINA/SILLA/ESTATICA"/>
    <s v="39255033"/>
    <s v="SILLA DE VISITA"/>
    <s v="N/A"/>
    <s v="N"/>
    <m/>
    <n v="22.98"/>
    <s v="N"/>
    <s v="GRIS"/>
    <s v="Madera terciada ,POLIURETANO Tela tipo TEXTURA"/>
    <s v="ASIENTO Y ESPALDAR: Inyectable e=60mm"/>
    <s v="BUENO"/>
    <s v="S"/>
    <s v="APROBADO"/>
    <n v="6"/>
    <s v="PLATAFORMA GUBERNAMENTAL NORTE PISO 7 TORRE VERDE BODEGA DE INVENTARIOS"/>
    <n v="97459"/>
    <s v="PLATAFORMA GUBERNAMENTAL NORTE"/>
    <n v="102936168"/>
    <s v="DUTAN TAMAYO HUGO ERNESTO"/>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22.98"/>
    <n v="2.2999999999999998"/>
    <n v="20.29"/>
    <n v="2.69"/>
    <s v="N"/>
  </r>
  <r>
    <n v="39255034"/>
    <s v=""/>
    <s v="300100280007"/>
    <n v="15"/>
    <s v="BLD"/>
    <s v="MUEBLES DE OFICINA/SILLA/ESTATICA"/>
    <s v="39255034"/>
    <s v="SILLA DE VISITA"/>
    <s v="N/A"/>
    <s v="N"/>
    <m/>
    <n v="22.98"/>
    <s v="N"/>
    <s v="GRIS"/>
    <s v="Madera terciada ,POLIURETANO Tela tipo TEXTURA"/>
    <s v="ASIENTO Y ESPALDAR: Inyectable e=60mm"/>
    <s v="BUENO"/>
    <s v="S"/>
    <s v="APROBADO"/>
    <n v="6"/>
    <s v="PLATAFORMA GUBERNAMENTAL NORTE PISO 7 TORRE VERDE BODEGA DE INVENTARIOS"/>
    <n v="97459"/>
    <s v="PLATAFORMA GUBERNAMENTAL NORTE"/>
    <n v="102936168"/>
    <s v="DUTAN TAMAYO HUGO ERNESTO"/>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22.98"/>
    <n v="2.2999999999999998"/>
    <n v="20.29"/>
    <n v="2.69"/>
    <s v="N"/>
  </r>
  <r>
    <n v="39255035"/>
    <s v=""/>
    <s v="300100280007"/>
    <n v="15"/>
    <s v="BLD"/>
    <s v="MUEBLES DE OFICINA/SILLA/ESTATICA"/>
    <s v="39255035"/>
    <s v="SILLA DE VISITA"/>
    <s v="N/A"/>
    <s v="N"/>
    <m/>
    <n v="22.98"/>
    <s v="N"/>
    <s v="GRIS"/>
    <s v="Madera terciada ,POLIURETANO Tela tipo TEXTURA"/>
    <s v="ASIENTO Y ESPALDAR: Inyectable e=60mm"/>
    <s v="BUENO"/>
    <s v="S"/>
    <s v="APROBADO"/>
    <n v="6"/>
    <s v="PLATAFORMA GUBERNAMENTAL NORTE PISO 7 TORRE VERDE BODEGA DE INVENTARIOS"/>
    <n v="97459"/>
    <s v="PLATAFORMA GUBERNAMENTAL NORTE"/>
    <n v="102936168"/>
    <s v="DUTAN TAMAYO HUGO ERNESTO"/>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22.98"/>
    <n v="2.2999999999999998"/>
    <n v="20.29"/>
    <n v="2.69"/>
    <s v="N"/>
  </r>
  <r>
    <n v="39255036"/>
    <s v=""/>
    <s v="300100280007"/>
    <n v="15"/>
    <s v="BLD"/>
    <s v="MUEBLES DE OFICINA/SILLA/ESTATICA"/>
    <s v="39255036"/>
    <s v="SILLA DE VISITA"/>
    <s v="N/A"/>
    <s v="N"/>
    <m/>
    <n v="22.98"/>
    <s v="N"/>
    <s v="GRIS"/>
    <s v="Madera terciada ,POLIURETANO Tela tipo TEXTURA"/>
    <s v="ASIENTO Y ESPALDAR: Inyectable e=60mm"/>
    <s v="BUENO"/>
    <s v="S"/>
    <s v="APROBADO"/>
    <n v="6"/>
    <s v="PLATAFORMA GUBERNAMENTAL NORTE PISO 7 TORRE VERDE BODEGA DE INVENTARIOS"/>
    <n v="97459"/>
    <s v="PLATAFORMA GUBERNAMENTAL NORTE"/>
    <n v="102936168"/>
    <s v="DUTAN TAMAYO HUGO ERNESTO"/>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22.98"/>
    <n v="2.2999999999999998"/>
    <n v="20.29"/>
    <n v="2.69"/>
    <s v="N"/>
  </r>
  <r>
    <n v="39255037"/>
    <s v=""/>
    <s v="300100280007"/>
    <n v="15"/>
    <s v="BLD"/>
    <s v="MUEBLES DE OFICINA/SILLA/ESTATICA"/>
    <s v="39255037"/>
    <s v="SILLA DE VISITA"/>
    <s v="N/A"/>
    <s v="N"/>
    <m/>
    <n v="22.98"/>
    <s v="N"/>
    <s v="GRIS"/>
    <s v="Madera terciada ,POLIURETANO Tela tipo TEXTURA"/>
    <s v="ASIENTO Y ESPALDAR: Inyectable e=60mm"/>
    <s v="BUENO"/>
    <s v="S"/>
    <s v="APROBADO"/>
    <n v="6"/>
    <s v="PLATAFORMA GUBERNAMENTAL NORTE PISO 7 TORRE VERDE BODEGA DE INVENTARIOS"/>
    <n v="97459"/>
    <s v="PLATAFORMA GUBERNAMENTAL NORTE"/>
    <n v="102936168"/>
    <s v="DUTAN TAMAYO HUGO ERNESTO"/>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22.98"/>
    <n v="2.2999999999999998"/>
    <n v="20.29"/>
    <n v="2.69"/>
    <s v="N"/>
  </r>
  <r>
    <n v="39255038"/>
    <s v=""/>
    <s v="300100280007"/>
    <n v="15"/>
    <s v="BLD"/>
    <s v="MUEBLES DE OFICINA/SILLA/ESTATICA"/>
    <s v="39255038"/>
    <s v="SILLA DE VISITA"/>
    <s v="N/A"/>
    <s v="N"/>
    <m/>
    <n v="22.98"/>
    <s v="N"/>
    <s v="GRIS"/>
    <s v="Madera terciada ,POLIURETANO Tela tipo TEXTURA"/>
    <s v="ASIENTO Y ESPALDAR: Inyectable e=60mm"/>
    <s v="BUENO"/>
    <s v="S"/>
    <s v="APROBADO"/>
    <n v="6"/>
    <s v="PLATAFORMA GUBERNAMENTAL NORTE PISO 7 TORRE VERDE BODEGA DE INVENTARIOS"/>
    <n v="97459"/>
    <s v="PLATAFORMA GUBERNAMENTAL NORTE"/>
    <n v="1709796500"/>
    <s v="GARCES TIPAN TANSHA DEL PILAR"/>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22.98"/>
    <n v="2.2999999999999998"/>
    <n v="20.29"/>
    <n v="2.69"/>
    <s v="N"/>
  </r>
  <r>
    <n v="39255039"/>
    <s v=""/>
    <s v="300100280007"/>
    <n v="15"/>
    <s v="BLD"/>
    <s v="MUEBLES DE OFICINA/SILLA/ESTATICA"/>
    <s v="39255039"/>
    <s v="SILLA DE VISITA"/>
    <s v="N/A"/>
    <s v="N"/>
    <m/>
    <n v="22.98"/>
    <s v="N"/>
    <s v="GRIS"/>
    <s v="Madera terciada ,POLIURETANO Tela tipo TEXTURA"/>
    <s v="ASIENTO Y ESPALDAR: Inyectable e=60mm"/>
    <s v="BUENO"/>
    <s v="S"/>
    <s v="APROBADO"/>
    <n v="6"/>
    <s v="PLATAFORMA GUBERNAMENTAL NORTE PISO 7 TORRE VERDE BODEGA DE INVENTARIOS"/>
    <n v="97459"/>
    <s v="PLATAFORMA GUBERNAMENTAL NORTE"/>
    <n v="1709796500"/>
    <s v="GARCES TIPAN TANSHA DEL PILAR"/>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22.98"/>
    <n v="2.2999999999999998"/>
    <n v="20.29"/>
    <n v="2.69"/>
    <s v="N"/>
  </r>
  <r>
    <n v="39255040"/>
    <s v=""/>
    <s v="300100280007"/>
    <n v="15"/>
    <s v="BLD"/>
    <s v="MUEBLES DE OFICINA/SILLA/ESTATICA"/>
    <s v="39255040"/>
    <s v="SILLA DE VISITA"/>
    <s v="N/A"/>
    <s v="N"/>
    <m/>
    <n v="22.98"/>
    <s v="N"/>
    <s v="GRIS"/>
    <s v="Madera terciada ,POLIURETANO Tela tipo TEXTURA"/>
    <s v="ASIENTO Y ESPALDAR: Inyectable e=60mm"/>
    <s v="BUENO"/>
    <s v="S"/>
    <s v="APROBADO"/>
    <n v="6"/>
    <s v="PLATAFORMA GUBERNAMENTAL NORTE PISO 7 TORRE VERDE BODEGA DE INVENTARIOS"/>
    <n v="97459"/>
    <s v="PLATAFORMA GUBERNAMENTAL NORTE"/>
    <n v="1709796500"/>
    <s v="GARCES TIPAN TANSHA DEL PILAR"/>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22.98"/>
    <n v="2.2999999999999998"/>
    <n v="20.29"/>
    <n v="2.69"/>
    <s v="N"/>
  </r>
  <r>
    <n v="39255041"/>
    <s v=""/>
    <s v="300100280007"/>
    <n v="15"/>
    <s v="BLD"/>
    <s v="MUEBLES DE OFICINA/SILLA/ESTATICA"/>
    <s v="39255041"/>
    <s v="SILLA DE VISITA"/>
    <s v="N/A"/>
    <s v="N"/>
    <m/>
    <n v="22.98"/>
    <s v="N"/>
    <s v="GRIS"/>
    <s v="Madera terciada ,POLIURETANO Tela tipo TEXTURA"/>
    <s v="ASIENTO Y ESPALDAR: Inyectable e=60mm"/>
    <s v="BUENO"/>
    <s v="S"/>
    <s v="APROBADO"/>
    <n v="6"/>
    <s v="PLATAFORMA GUBERNAMENTAL NORTE PISO 7 TORRE VERDE BODEGA DE INVENTARIOS"/>
    <n v="97459"/>
    <s v="PLATAFORMA GUBERNAMENTAL NORTE"/>
    <n v="1709796500"/>
    <s v="GARCES TIPAN TANSHA DEL PILAR"/>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22.98"/>
    <n v="2.2999999999999998"/>
    <n v="20.29"/>
    <n v="2.69"/>
    <s v="N"/>
  </r>
  <r>
    <n v="39255042"/>
    <s v=""/>
    <s v="300100280007"/>
    <n v="15"/>
    <s v="BLD"/>
    <s v="MUEBLES DE OFICINA/SILLA/ESTATICA"/>
    <s v="39255042"/>
    <s v="SILLA DE VISITA"/>
    <s v="N/A"/>
    <s v="N"/>
    <m/>
    <n v="22.98"/>
    <s v="N"/>
    <s v="GRIS"/>
    <s v="Madera terciada ,POLIURETANO Tela tipo TEXTURA"/>
    <s v="ASIENTO Y ESPALDAR: Inyectable e=60mm"/>
    <s v="BUENO"/>
    <s v="S"/>
    <s v="APROBADO"/>
    <n v="6"/>
    <s v="PLATAFORMA GUBERNAMENTAL NORTE PISO 7 TORRE VERDE BODEGA DE INVENTARIOS"/>
    <n v="97459"/>
    <s v="PLATAFORMA GUBERNAMENTAL NORTE"/>
    <n v="1709796500"/>
    <s v="GARCES TIPAN TANSHA DEL PILAR"/>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22.98"/>
    <n v="2.2999999999999998"/>
    <n v="20.29"/>
    <n v="2.69"/>
    <s v="N"/>
  </r>
  <r>
    <n v="39255043"/>
    <s v=""/>
    <s v="300100280007"/>
    <n v="15"/>
    <s v="BLD"/>
    <s v="MUEBLES DE OFICINA/SILLA/ESTATICA"/>
    <s v="39255043"/>
    <s v="SILLA DE VISITA"/>
    <s v="N/A"/>
    <s v="N"/>
    <m/>
    <n v="22.98"/>
    <s v="N"/>
    <s v="GRIS"/>
    <s v="Madera terciada ,POLIURETANO Tela tipo TEXTURA"/>
    <s v="ASIENTO Y ESPALDAR: Inyectable e=60mm"/>
    <s v="BUENO"/>
    <s v="S"/>
    <s v="APROBADO"/>
    <n v="6"/>
    <s v="PLATAFORMA GUBERNAMENTAL NORTE PISO 7 TORRE VERDE BODEGA DE INVENTARIOS"/>
    <n v="97459"/>
    <s v="PLATAFORMA GUBERNAMENTAL NORTE"/>
    <n v="1709796500"/>
    <s v="GARCES TIPAN TANSHA DEL PILAR"/>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22.98"/>
    <n v="2.2999999999999998"/>
    <n v="20.29"/>
    <n v="2.69"/>
    <s v="N"/>
  </r>
  <r>
    <n v="39255044"/>
    <s v=""/>
    <s v="300100280007"/>
    <n v="15"/>
    <s v="BLD"/>
    <s v="MUEBLES DE OFICINA/SILLA/ESTATICA"/>
    <s v="39255044"/>
    <s v="SILLA DE VISITA"/>
    <s v="N/A"/>
    <s v="N"/>
    <m/>
    <n v="22.98"/>
    <s v="N"/>
    <s v="GRIS"/>
    <s v="Madera terciada ,POLIURETANO Tela tipo TEXTURA"/>
    <s v="ASIENTO Y ESPALDAR: Inyectable e=60mm"/>
    <s v="BUENO"/>
    <s v="S"/>
    <s v="APROBADO"/>
    <n v="6"/>
    <s v="PLATAFORMA GUBERNAMENTAL NORTE PISO 7 TORRE VERDE BODEGA DE INVENTARIOS"/>
    <n v="97459"/>
    <s v="PLATAFORMA GUBERNAMENTAL NORTE"/>
    <n v="1711995694"/>
    <s v="ULLOA MONAR FANNY CRISTINA"/>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22.98"/>
    <n v="2.2999999999999998"/>
    <n v="20.29"/>
    <n v="2.69"/>
    <s v="N"/>
  </r>
  <r>
    <n v="39255045"/>
    <s v=""/>
    <s v="300100280002"/>
    <n v="15"/>
    <s v="BLD"/>
    <s v="MUEBLES DE OFICINA/SILLA/GIRATORIA"/>
    <s v="39255045"/>
    <s v="SILLA TIYAKUY"/>
    <s v="N/A"/>
    <s v="N"/>
    <m/>
    <n v="78"/>
    <s v="N"/>
    <s v="NEGRO"/>
    <s v="Madera terciada ,POLIURETANO Tela tipo TEXTURA"/>
    <s v="ASIENTO Y ESPALDAR: Inyectable e=60mm"/>
    <s v="BUENO"/>
    <s v="S"/>
    <s v="APROBADO"/>
    <n v="6"/>
    <s v="PLATAFORMA GUBERNAMENTAL NORTE PISO 7 TORRE VERDE BODEGA DE INVENTARIOS"/>
    <n v="97459"/>
    <s v="PLATAFORMA GUBERNAMENTAL NORTE"/>
    <n v="1717662512"/>
    <s v="FLORES FLORES JOFFRE FABIAN"/>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78"/>
    <n v="7.8"/>
    <n v="68.91"/>
    <n v="9.09"/>
    <s v="N"/>
  </r>
  <r>
    <n v="39255046"/>
    <s v=""/>
    <s v="300100280002"/>
    <n v="15"/>
    <s v="BLD"/>
    <s v="MUEBLES DE OFICINA/SILLA/GIRATORIA"/>
    <s v="39255046"/>
    <s v="SILLA TIYAKUY"/>
    <s v="N/A"/>
    <s v="N"/>
    <m/>
    <n v="78"/>
    <s v="N"/>
    <s v="NEGRO"/>
    <s v="Madera terciada ,POLIURETANO Tela tipo TEXTURA"/>
    <s v="ASIENTO Y ESPALDAR: Inyectable e=60mm"/>
    <s v="BUENO"/>
    <s v="S"/>
    <s v="APROBADO"/>
    <n v="6"/>
    <s v="PLATAFORMA GUBERNAMENTAL NORTE PISO 7 TORRE VERDE BODEGA DE INVENTARIOS"/>
    <n v="97459"/>
    <s v="PLATAFORMA GUBERNAMENTAL NORTE"/>
    <n v="1710914985"/>
    <s v="SILVA TOLEDO RICARDO WLADIMIR"/>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78"/>
    <n v="7.8"/>
    <n v="68.91"/>
    <n v="9.09"/>
    <s v="N"/>
  </r>
  <r>
    <n v="39255047"/>
    <s v=""/>
    <s v="300100280002"/>
    <n v="15"/>
    <s v="BLD"/>
    <s v="MUEBLES DE OFICINA/SILLA/GIRATORIA"/>
    <s v="39255047"/>
    <s v="SILLA TIYAKUY"/>
    <s v="N/A"/>
    <s v="N"/>
    <m/>
    <n v="78"/>
    <s v="N"/>
    <s v="NEGRO"/>
    <s v="Madera terciada ,POLIURETANO Tela tipo TEXTURA"/>
    <s v="ASIENTO Y ESPALDAR: Inyectable e=60mm"/>
    <s v="BUENO"/>
    <s v="S"/>
    <s v="APROBADO"/>
    <n v="6"/>
    <s v="PLATAFORMA GUBERNAMENTAL NORTE PISO 7 TORRE VERDE BODEGA DE INVENTARIOS"/>
    <n v="97459"/>
    <s v="PLATAFORMA GUBERNAMENTAL NORTE"/>
    <n v="1717662512"/>
    <s v="FLORES FLORES JOFFRE FABIAN"/>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78"/>
    <n v="7.8"/>
    <n v="68.91"/>
    <n v="9.09"/>
    <s v="N"/>
  </r>
  <r>
    <n v="39255048"/>
    <s v=""/>
    <s v="300100280002"/>
    <n v="15"/>
    <s v="BLD"/>
    <s v="MUEBLES DE OFICINA/SILLA/GIRATORIA"/>
    <s v="39255048"/>
    <s v="SILLA TIYAKUY"/>
    <s v="N/A"/>
    <s v="N"/>
    <m/>
    <n v="78"/>
    <s v="N"/>
    <s v="NEGRO"/>
    <s v="Madera terciada ,POLIURETANO Tela tipo TEXTURA"/>
    <s v="ASIENTO Y ESPALDAR: Inyectable e=60mm"/>
    <s v="BUENO"/>
    <s v="S"/>
    <s v="APROBADO"/>
    <n v="6"/>
    <s v="PLATAFORMA GUBERNAMENTAL NORTE PISO 7 TORRE VERDE BODEGA DE INVENTARIOS"/>
    <n v="97459"/>
    <s v="PLATAFORMA GUBERNAMENTAL NORTE"/>
    <n v="1723600886"/>
    <s v="ORTEGA QUINTE SHIRLEY NICOLE"/>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78"/>
    <n v="7.8"/>
    <n v="68.91"/>
    <n v="9.09"/>
    <s v="N"/>
  </r>
  <r>
    <n v="39255049"/>
    <s v=""/>
    <s v="300100280002"/>
    <n v="15"/>
    <s v="BLD"/>
    <s v="MUEBLES DE OFICINA/SILLA/GIRATORIA"/>
    <s v="39255049"/>
    <s v="SILLA TIYAKUY"/>
    <s v="N/A"/>
    <s v="N"/>
    <m/>
    <n v="78"/>
    <s v="N"/>
    <s v="NEGRO"/>
    <s v="Madera terciada ,POLIURETANO Tela tipo TEXTURA"/>
    <s v="ASIENTO Y ESPALDAR: Inyectable e=60mm"/>
    <s v="BUENO"/>
    <s v="S"/>
    <s v="APROBADO"/>
    <n v="6"/>
    <s v="PLATAFORMA GUBERNAMENTAL NORTE PISO 7 TORRE VERDE BODEGA DE INVENTARIOS"/>
    <n v="97459"/>
    <s v="PLATAFORMA GUBERNAMENTAL NORTE"/>
    <n v="1714641105"/>
    <s v="RODRIGUEZ LOPEZ DAVID RAFAEL"/>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78"/>
    <n v="7.8"/>
    <n v="68.91"/>
    <n v="9.09"/>
    <s v="N"/>
  </r>
  <r>
    <n v="39255050"/>
    <s v=""/>
    <s v="300100280002"/>
    <n v="15"/>
    <s v="BLD"/>
    <s v="MUEBLES DE OFICINA/SILLA/GIRATORIA"/>
    <s v="39255050"/>
    <s v="SILLA TIYAKUY"/>
    <s v="N/A"/>
    <s v="N"/>
    <m/>
    <n v="78"/>
    <s v="N"/>
    <s v="NEGRO"/>
    <s v="Madera terciada ,POLIURETANO Tela tipo TEXTURA"/>
    <s v="ASIENTO Y ESPALDAR: Inyectable e=60mm"/>
    <s v="BUENO"/>
    <s v="S"/>
    <s v="APROBADO"/>
    <n v="6"/>
    <s v="PLATAFORMA GUBERNAMENTAL NORTE PISO 7 TORRE VERDE BODEGA DE INVENTARIOS"/>
    <n v="97459"/>
    <s v="PLATAFORMA GUBERNAMENTAL NORTE"/>
    <n v="1709459232"/>
    <s v="PALACIOS CORONEL DIANA ALEXANDRA"/>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78"/>
    <n v="7.8"/>
    <n v="68.91"/>
    <n v="9.09"/>
    <s v="N"/>
  </r>
  <r>
    <n v="39255051"/>
    <s v=""/>
    <s v="300100280002"/>
    <n v="15"/>
    <s v="BLD"/>
    <s v="MUEBLES DE OFICINA/SILLA/GIRATORIA"/>
    <s v="39255051"/>
    <s v="SILLA TIYAKUY"/>
    <s v="N/A"/>
    <s v="N"/>
    <m/>
    <n v="78"/>
    <s v="N"/>
    <s v="NEGRO"/>
    <s v="Madera terciada ,POLIURETANO Tela tipo TEXTURA"/>
    <s v="ASIENTO Y ESPALDAR: Inyectable e=60mm"/>
    <s v="BUENO"/>
    <s v="S"/>
    <s v="APROBADO"/>
    <n v="6"/>
    <s v="PLATAFORMA GUBERNAMENTAL NORTE PISO 7 TORRE VERDE BODEGA DE INVENTARIOS"/>
    <n v="97459"/>
    <s v="PLATAFORMA GUBERNAMENTAL NORTE"/>
    <n v="1726517327"/>
    <s v="VILLAVICENCIO SALAZAR NICOLAS GABRIEL"/>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78"/>
    <n v="7.8"/>
    <n v="68.91"/>
    <n v="9.09"/>
    <s v="N"/>
  </r>
  <r>
    <n v="39255052"/>
    <s v=""/>
    <s v="300100280002"/>
    <n v="15"/>
    <s v="BLD"/>
    <s v="MUEBLES DE OFICINA/SILLA/GIRATORIA"/>
    <s v="39255052"/>
    <s v="SILLA TIYAKUY"/>
    <s v="N/A"/>
    <s v="N"/>
    <m/>
    <n v="78"/>
    <s v="N"/>
    <s v="NEGRO"/>
    <s v="Madera terciada ,POLIURETANO Tela tipo TEXTURA"/>
    <s v="ASIENTO Y ESPALDAR: Inyectable e=60mm"/>
    <s v="BUENO"/>
    <s v="S"/>
    <s v="APROBADO"/>
    <n v="6"/>
    <s v="PLATAFORMA GUBERNAMENTAL NORTE PISO 7 TORRE VERDE BODEGA DE INVENTARIOS"/>
    <n v="97459"/>
    <s v="PLATAFORMA GUBERNAMENTAL NORTE"/>
    <n v="1725514309"/>
    <s v="HURTADO JACOME GISSELA VIVIANA"/>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78"/>
    <n v="7.8"/>
    <n v="68.91"/>
    <n v="9.09"/>
    <s v="N"/>
  </r>
  <r>
    <n v="39255053"/>
    <s v=""/>
    <s v="300100280002"/>
    <n v="15"/>
    <s v="BLD"/>
    <s v="MUEBLES DE OFICINA/SILLA/GIRATORIA"/>
    <s v="39255053"/>
    <s v="SILLA TIYAKUY"/>
    <s v="N/A"/>
    <s v="N"/>
    <m/>
    <n v="78"/>
    <s v="N"/>
    <s v="NEGRO"/>
    <s v="Madera terciada ,POLIURETANO Tela tipo TEXTURA"/>
    <s v="ASIENTO Y ESPALDAR: Inyectable e=60mm"/>
    <s v="BUENO"/>
    <s v="S"/>
    <s v="APROBADO"/>
    <n v="6"/>
    <s v="PLATAFORMA GUBERNAMENTAL NORTE PISO 7 TORRE VERDE BODEGA DE INVENTARIOS"/>
    <n v="97459"/>
    <s v="PLATAFORMA GUBERNAMENTAL NORTE"/>
    <n v="1722641816"/>
    <s v="ANDA JIMENEZ ANA GABRIELA"/>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78"/>
    <n v="7.8"/>
    <n v="68.91"/>
    <n v="9.09"/>
    <s v="N"/>
  </r>
  <r>
    <n v="39255054"/>
    <s v=""/>
    <s v="300100280002"/>
    <n v="15"/>
    <s v="BLD"/>
    <s v="MUEBLES DE OFICINA/SILLA/GIRATORIA"/>
    <s v="39255054"/>
    <s v="SILLA TIYAKUY"/>
    <s v="N/A"/>
    <s v="N"/>
    <m/>
    <n v="78"/>
    <s v="N"/>
    <s v="NEGRO"/>
    <s v="Madera terciada ,POLIURETANO Tela tipo TEXTURA"/>
    <s v="ASIENTO Y ESPALDAR: Inyectable e=60mm"/>
    <s v="BUENO"/>
    <s v="S"/>
    <s v="APROBADO"/>
    <n v="6"/>
    <s v="PLATAFORMA GUBERNAMENTAL NORTE PISO 7 TORRE VERDE BODEGA DE INVENTARIOS"/>
    <n v="97459"/>
    <s v="PLATAFORMA GUBERNAMENTAL NORTE"/>
    <n v="1719443135"/>
    <s v="CARRILLO CHUQUITARCO DIEGO FERNANDO"/>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78"/>
    <n v="7.8"/>
    <n v="68.91"/>
    <n v="9.09"/>
    <s v="N"/>
  </r>
  <r>
    <n v="39255055"/>
    <s v=""/>
    <s v="300100280002"/>
    <n v="15"/>
    <s v="BLD"/>
    <s v="MUEBLES DE OFICINA/SILLA/GIRATORIA"/>
    <s v="39255055"/>
    <s v="SILLA TIYAKUY"/>
    <s v="N/A"/>
    <s v="N"/>
    <m/>
    <n v="78"/>
    <s v="N"/>
    <s v="NEGRO"/>
    <s v="Madera terciada ,POLIURETANO Tela tipo TEXTURA"/>
    <s v="ASIENTO Y ESPALDAR: Inyectable e=60mm"/>
    <s v="BUENO"/>
    <s v="S"/>
    <s v="APROBADO"/>
    <n v="6"/>
    <s v="PLATAFORMA GUBERNAMENTAL NORTE PISO 7 TORRE VERDE BODEGA DE INVENTARIOS"/>
    <n v="97459"/>
    <s v="PLATAFORMA GUBERNAMENTAL NORTE"/>
    <n v="1717662512"/>
    <s v="FLORES FLORES JOFFRE FABIAN"/>
    <s v="S"/>
    <s v="COMPRA"/>
    <s v="ACTA"/>
    <n v="443"/>
    <s v="LEGALIZADO"/>
    <s v="S"/>
    <s v="S"/>
    <s v="PROVEEDOR VICTOR TELLO SERVICIOS Y COMERCIO RUC 1700505835001, SILLA DE VISITA, SILLON QHAPAX VISITA, SILLATIYAKUY, OC CE20240002721945 CE20240002721950 CE20240002721954"/>
    <n v="840103"/>
    <x v="1"/>
    <s v="S"/>
    <d v="2024-11-14T00:00:00"/>
    <d v="2024-11-14T00:00:00"/>
    <d v="2026-02-28T00:00:00"/>
    <n v="10"/>
    <d v="2034-11-11T00:00:00"/>
    <n v="78"/>
    <n v="7.8"/>
    <n v="68.89"/>
    <n v="9.11"/>
    <s v="N"/>
  </r>
  <r>
    <n v="39255056"/>
    <s v=""/>
    <s v="300100280002"/>
    <n v="15"/>
    <s v="BLD"/>
    <s v="MUEBLES DE OFICINA/SILLA/GIRATORIA"/>
    <s v="39255056"/>
    <s v="SILLA TIYAKUY"/>
    <s v="N/A"/>
    <s v="N"/>
    <m/>
    <n v="78"/>
    <s v="N"/>
    <s v="NEGRO"/>
    <s v="Madera terciada ,POLIURETANO Tela tipo TEXTURA"/>
    <s v="ASIENTO Y ESPALDAR: Inyectable e=60mm"/>
    <s v="BUENO"/>
    <s v="S"/>
    <s v="APROBADO"/>
    <n v="6"/>
    <s v="PLATAFORMA GUBERNAMENTAL NORTE PISO 7 TORRE VERDE BODEGA DE INVENTARIOS"/>
    <n v="97459"/>
    <s v="PLATAFORMA GUBERNAMENTAL NORTE"/>
    <n v="1716349814"/>
    <s v="RICAURTE MOSQUERA JOSHUA FELIPE"/>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78"/>
    <n v="7.8"/>
    <n v="68.91"/>
    <n v="9.09"/>
    <s v="N"/>
  </r>
  <r>
    <n v="39255057"/>
    <s v=""/>
    <s v="300100280002"/>
    <n v="15"/>
    <s v="BLD"/>
    <s v="MUEBLES DE OFICINA/SILLA/GIRATORIA"/>
    <s v="39255057"/>
    <s v="SILLA TIYAKUY"/>
    <s v="N/A"/>
    <s v="N"/>
    <m/>
    <n v="78"/>
    <s v="N"/>
    <s v="NEGRO"/>
    <s v="Madera terciada ,POLIURETANO Tela tipo TEXTURA"/>
    <s v="ASIENTO Y ESPALDAR: Inyectable e=60mm"/>
    <s v="BUENO"/>
    <s v="S"/>
    <s v="APROBADO"/>
    <n v="6"/>
    <s v="PLATAFORMA GUBERNAMENTAL NORTE PISO 7 TORRE VERDE BODEGA DE INVENTARIOS"/>
    <n v="97459"/>
    <s v="PLATAFORMA GUBERNAMENTAL NORTE"/>
    <n v="401265012"/>
    <s v="GUERRA ASLALEMA DARWIN BAYARDO"/>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78"/>
    <n v="7.8"/>
    <n v="68.91"/>
    <n v="9.09"/>
    <s v="N"/>
  </r>
  <r>
    <n v="39255058"/>
    <s v=""/>
    <s v="300100280002"/>
    <n v="15"/>
    <s v="BLD"/>
    <s v="MUEBLES DE OFICINA/SILLA/GIRATORIA"/>
    <s v="39255058"/>
    <s v="SILLA TIYAKUY"/>
    <s v="N/A"/>
    <s v="N"/>
    <m/>
    <n v="78"/>
    <s v="N"/>
    <s v="GRIS"/>
    <s v="Madera terciada ,POLIURETANO Tela tipo TEXTURA"/>
    <s v="ASIENTO Y ESPALDAR: Inyectable e=60mm"/>
    <s v="BUENO"/>
    <s v="S"/>
    <s v="APROBADO"/>
    <n v="6"/>
    <s v="PLATAFORMA GUBERNAMENTAL NORTE PISO 7 TORRE VERDE BODEGA DE INVENTARIOS"/>
    <n v="97459"/>
    <s v="PLATAFORMA GUBERNAMENTAL NORTE"/>
    <n v="1003429584"/>
    <s v="ALVAREZ COBA ELVA TATIANA"/>
    <s v="S"/>
    <s v="COMPRA"/>
    <s v="ACTA"/>
    <n v="443"/>
    <s v="LEGALIZADO"/>
    <s v="S"/>
    <s v="S"/>
    <s v="PROVEEDOR VICTOR TELLO SERVICIOS Y COMERCIO RUC 1700505835001, SILLA DE VISITA, SILLON QHAPAX VISITA, SILLATIYAKUY, OC CE20240002721945 CE20240002721950 CE20240002721954"/>
    <n v="840103"/>
    <x v="1"/>
    <s v="S"/>
    <d v="2024-11-14T00:00:00"/>
    <d v="2024-11-15T00:00:00"/>
    <d v="2026-02-28T00:00:00"/>
    <n v="10"/>
    <d v="2034-11-12T00:00:00"/>
    <n v="78"/>
    <n v="7.8"/>
    <n v="68.91"/>
    <n v="9.09"/>
    <s v="N"/>
  </r>
  <r>
    <n v="39392197"/>
    <s v=""/>
    <s v="300100150003"/>
    <n v="21"/>
    <s v="BLD"/>
    <s v="MUEBLES DE OFICINA/ESTANTERIA/METAL"/>
    <s v="39392197"/>
    <s v=""/>
    <s v=""/>
    <m/>
    <m/>
    <n v="103.52"/>
    <m/>
    <s v="NEGRO"/>
    <s v="METAL"/>
    <s v="2000mm DE ALTO X 1050 mm DE ANCHO X 400 mm FONDO"/>
    <s v="BUENO"/>
    <s v="S"/>
    <s v="APROBADO"/>
    <n v="6"/>
    <s v="PLATAFORMA GUBERNAMENTAL NORTE PISO 7 TORRE VERDE BODEGA DE INVENTARIOS"/>
    <n v="97459"/>
    <s v="PLATAFORMA GUBERNAMENTAL NORTE"/>
    <n v="1709459232"/>
    <s v="PALACIOS CORONEL DIANA ALEXANDRA"/>
    <s v="S"/>
    <s v="COMPRA"/>
    <s v="ACTA"/>
    <n v="441"/>
    <s v="LEGALIZADO"/>
    <s v="S"/>
    <s v="S"/>
    <s v="PROVEEDOR MOBILIARIO Y AMBIENTES METMEL S.A. RUC 1792835941001,(3 ESTANTERIAS METALICAS) OC CE20240002721944"/>
    <n v="840103"/>
    <x v="1"/>
    <s v="S"/>
    <d v="2024-12-04T00:00:00"/>
    <d v="2024-12-04T00:00:00"/>
    <d v="2026-02-28T00:00:00"/>
    <n v="10"/>
    <d v="2034-12-01T00:00:00"/>
    <n v="103.52"/>
    <n v="10.35"/>
    <n v="91.98"/>
    <n v="11.54"/>
    <s v="N"/>
  </r>
  <r>
    <n v="39392198"/>
    <s v=""/>
    <s v="300100150003"/>
    <n v="21"/>
    <s v="BLD"/>
    <s v="MUEBLES DE OFICINA/ESTANTERIA/METAL"/>
    <s v="39392198"/>
    <s v=""/>
    <s v=""/>
    <m/>
    <m/>
    <n v="103.52"/>
    <m/>
    <s v="NEGRO"/>
    <s v="METAL"/>
    <s v="2000mm DE ALTO X 1050 mm DE ANCHO X 400 mm FONDO"/>
    <s v="BUENO"/>
    <s v="S"/>
    <s v="APROBADO"/>
    <n v="6"/>
    <s v="PLATAFORMA GUBERNAMENTAL NORTE PISO 7 TORRE VERDE BODEGA DE INVENTARIOS"/>
    <n v="97459"/>
    <s v="PLATAFORMA GUBERNAMENTAL NORTE"/>
    <n v="1709459232"/>
    <s v="PALACIOS CORONEL DIANA ALEXANDRA"/>
    <s v="S"/>
    <s v="COMPRA"/>
    <s v="ACTA"/>
    <n v="441"/>
    <s v="LEGALIZADO"/>
    <s v="S"/>
    <s v="S"/>
    <s v="PROVEEDOR MOBILIARIO Y AMBIENTES METMEL S.A. RUC 1792835941001,(3 ESTANTERIAS METALICAS) OC CE20240002721944"/>
    <n v="840103"/>
    <x v="1"/>
    <s v="S"/>
    <d v="2024-12-04T00:00:00"/>
    <d v="2024-12-04T00:00:00"/>
    <d v="2026-02-28T00:00:00"/>
    <n v="10"/>
    <d v="2034-12-01T00:00:00"/>
    <n v="103.52"/>
    <n v="10.35"/>
    <n v="91.98"/>
    <n v="11.54"/>
    <s v="N"/>
  </r>
  <r>
    <n v="39392199"/>
    <s v=""/>
    <s v="300100150003"/>
    <n v="21"/>
    <s v="BLD"/>
    <s v="MUEBLES DE OFICINA/ESTANTERIA/METAL"/>
    <s v="39392199"/>
    <s v=""/>
    <s v=""/>
    <m/>
    <m/>
    <n v="103.52"/>
    <m/>
    <s v="NEGRO"/>
    <s v="METAL"/>
    <s v="2000mm DE ALTO X 1050 mm DE ANCHO X 400 mm FONDO"/>
    <s v="BUENO"/>
    <s v="S"/>
    <s v="APROBADO"/>
    <n v="6"/>
    <s v="PLATAFORMA GUBERNAMENTAL NORTE PISO 7 TORRE VERDE BODEGA DE INVENTARIOS"/>
    <n v="97459"/>
    <s v="PLATAFORMA GUBERNAMENTAL NORTE"/>
    <n v="1709459232"/>
    <s v="PALACIOS CORONEL DIANA ALEXANDRA"/>
    <s v="S"/>
    <s v="COMPRA"/>
    <s v="ACTA"/>
    <n v="441"/>
    <s v="LEGALIZADO"/>
    <s v="S"/>
    <s v="S"/>
    <s v="PROVEEDOR MOBILIARIO Y AMBIENTES METMEL S.A. RUC 1792835941001,(3 ESTANTERIAS METALICAS) OC CE20240002721944"/>
    <n v="840103"/>
    <x v="1"/>
    <s v="S"/>
    <d v="2024-12-04T00:00:00"/>
    <d v="2024-12-04T00:00:00"/>
    <d v="2026-02-28T00:00:00"/>
    <n v="10"/>
    <d v="2034-12-01T00:00:00"/>
    <n v="103.52"/>
    <n v="10.35"/>
    <n v="91.98"/>
    <n v="11.54"/>
    <s v="N"/>
  </r>
  <r>
    <n v="39429144"/>
    <s v=""/>
    <s v="300100060005"/>
    <n v="22"/>
    <s v="BLD"/>
    <s v="MUEBLES DE OFICINA/ARCHIVADOR/MIXTO"/>
    <s v="39429144"/>
    <s v=""/>
    <s v=""/>
    <m/>
    <m/>
    <n v="129"/>
    <m/>
    <s v="NEGRO Y GRIS"/>
    <s v="METAL Y MADERA"/>
    <s v="900 MM X 600 MM X 730 MM"/>
    <s v="BUENO"/>
    <s v="S"/>
    <s v="APROBADO"/>
    <n v="6"/>
    <s v="PLATAFORMA GUBERNAMENTAL NORTE PISO 7 TORRE VERDE BODEGA DE INVENTARIOS"/>
    <n v="97459"/>
    <s v="PLATAFORMA GUBERNAMENTAL NORTE"/>
    <n v="1716349814"/>
    <s v="RICAURTE MOSQUERA JOSHUA FELIPE"/>
    <s v="S"/>
    <s v="COMPRA"/>
    <s v="ACTA"/>
    <n v="442"/>
    <s v="LEGALIZADO"/>
    <s v="S"/>
    <s v="S"/>
    <s v="PROVEEDOR MUEBLES PJ COMPROMISO Y CALIDAD RUC 1003020680001, ARMARIO 900MM X 350MM X 2000MM, ARCHIVADOR BAJO CARPETAS COLGANTES OC CE20240002721951 CE20240002721952"/>
    <n v="840103"/>
    <x v="1"/>
    <s v="S"/>
    <d v="2024-12-09T00:00:00"/>
    <d v="2024-12-09T00:00:00"/>
    <d v="2026-02-28T00:00:00"/>
    <n v="10"/>
    <d v="2034-12-06T00:00:00"/>
    <n v="129"/>
    <n v="12.9"/>
    <n v="114.79"/>
    <n v="14.21"/>
    <s v="N"/>
  </r>
  <r>
    <n v="39429145"/>
    <s v=""/>
    <s v="300100060005"/>
    <n v="22"/>
    <s v="BLD"/>
    <s v="MUEBLES DE OFICINA/ARCHIVADOR/MIXTO"/>
    <s v="39429145"/>
    <s v=""/>
    <s v=""/>
    <m/>
    <m/>
    <n v="129"/>
    <m/>
    <s v="NEGRO Y GRIS"/>
    <s v="METAL Y MADERA"/>
    <s v="900 MM X 600 MM X 730 MM"/>
    <s v="BUENO"/>
    <s v="S"/>
    <s v="APROBADO"/>
    <n v="6"/>
    <s v="PLATAFORMA GUBERNAMENTAL NORTE PISO 7 TORRE VERDE BODEGA DE INVENTARIOS"/>
    <n v="97459"/>
    <s v="PLATAFORMA GUBERNAMENTAL NORTE"/>
    <n v="1717662512"/>
    <s v="FLORES FLORES JOFFRE FABIAN"/>
    <s v="S"/>
    <s v="COMPRA"/>
    <s v="ACTA"/>
    <n v="442"/>
    <s v="LEGALIZADO"/>
    <s v="S"/>
    <s v="S"/>
    <s v="PROVEEDOR MUEBLES PJ COMPROMISO Y CALIDAD RUC 1003020680001, ARMARIO 900MM X 350MM X 2000MM, ARCHIVADOR BAJO CARPETAS COLGANTES OC CE20240002721951 CE20240002721952"/>
    <n v="840103"/>
    <x v="1"/>
    <s v="S"/>
    <d v="2024-12-09T00:00:00"/>
    <d v="2024-12-09T00:00:00"/>
    <d v="2026-02-28T00:00:00"/>
    <n v="10"/>
    <d v="2034-12-06T00:00:00"/>
    <n v="129"/>
    <n v="12.9"/>
    <n v="114.79"/>
    <n v="14.21"/>
    <s v="N"/>
  </r>
  <r>
    <n v="39429146"/>
    <s v=""/>
    <s v="300100060005"/>
    <n v="22"/>
    <s v="BLD"/>
    <s v="MUEBLES DE OFICINA/ARCHIVADOR/MIXTO"/>
    <s v="39429146"/>
    <s v=""/>
    <s v=""/>
    <m/>
    <m/>
    <n v="129"/>
    <m/>
    <s v="NEGRO"/>
    <s v="METAL Y MADERA"/>
    <s v="900 MM X 600 MM X 730 MM"/>
    <s v="BUENO"/>
    <s v="S"/>
    <s v="APROBADO"/>
    <n v="6"/>
    <s v="PLATAFORMA GUBERNAMENTAL NORTE PISO 7 TORRE VERDE BODEGA DE INVENTARIOS"/>
    <n v="97459"/>
    <s v="PLATAFORMA GUBERNAMENTAL NORTE"/>
    <n v="102936168"/>
    <s v="DUTAN TAMAYO HUGO ERNESTO"/>
    <s v="S"/>
    <s v="COMPRA"/>
    <s v="ACTA"/>
    <n v="442"/>
    <s v="LEGALIZADO"/>
    <s v="S"/>
    <s v="S"/>
    <s v="PROVEEDOR MUEBLES PJ COMPROMISO Y CALIDAD RUC 1003020680001, ARMARIO 900MM X 350MM X 2000MM, ARCHIVADOR BAJO CARPETAS COLGANTES OC CE20240002721951 CE20240002721952"/>
    <n v="840103"/>
    <x v="1"/>
    <s v="S"/>
    <d v="2024-12-09T00:00:00"/>
    <d v="2024-12-09T00:00:00"/>
    <d v="2026-02-28T00:00:00"/>
    <n v="10"/>
    <d v="2034-12-06T00:00:00"/>
    <n v="129"/>
    <n v="12.9"/>
    <n v="114.79"/>
    <n v="14.21"/>
    <s v="N"/>
  </r>
  <r>
    <n v="39429147"/>
    <s v=""/>
    <s v="300800040002"/>
    <n v="22"/>
    <s v="BLD"/>
    <s v="MUEBLES DE USO GENERAL/ARMARIO/METAL"/>
    <s v="39429147"/>
    <s v=""/>
    <s v=""/>
    <m/>
    <m/>
    <n v="146"/>
    <m/>
    <s v="NEGRO"/>
    <s v="METAL"/>
    <s v="900 MM X 350 MM X 2000 MM"/>
    <s v="BUENO"/>
    <s v="S"/>
    <s v="APROBADO"/>
    <n v="6"/>
    <s v="PLATAFORMA GUBERNAMENTAL NORTE PISO 7 TORRE VERDE BODEGA DE INVENTARIOS"/>
    <n v="97459"/>
    <s v="PLATAFORMA GUBERNAMENTAL NORTE"/>
    <n v="1711995694"/>
    <s v="ULLOA MONAR FANNY CRISTINA"/>
    <s v="S"/>
    <s v="COMPRA"/>
    <s v="ACTA"/>
    <n v="442"/>
    <s v="LEGALIZADO"/>
    <s v="S"/>
    <s v="S"/>
    <s v="PROVEEDOR MUEBLES PJ COMPROMISO Y CALIDAD RUC 1003020680001, ARMARIO 900MM X 350MM X 2000MM, ARCHIVADOR BAJO CARPETAS COLGANTES OC CE20240002721951 CE20240002721952"/>
    <n v="840103"/>
    <x v="1"/>
    <s v="S"/>
    <d v="2024-12-09T00:00:00"/>
    <d v="2024-12-09T00:00:00"/>
    <d v="2026-02-28T00:00:00"/>
    <n v="10"/>
    <d v="2034-12-06T00:00:00"/>
    <n v="146"/>
    <n v="14.6"/>
    <n v="129.88999999999999"/>
    <n v="16.11"/>
    <s v="N"/>
  </r>
  <r>
    <n v="39429148"/>
    <s v=""/>
    <s v="300800040002"/>
    <n v="22"/>
    <s v="BLD"/>
    <s v="MUEBLES DE USO GENERAL/ARMARIO/METAL"/>
    <s v="39429148"/>
    <s v=""/>
    <s v=""/>
    <m/>
    <m/>
    <n v="146"/>
    <m/>
    <s v="NEGRO"/>
    <s v="METAL"/>
    <s v="900 MM X 350 MM X 2000 MM"/>
    <s v="BUENO"/>
    <s v="S"/>
    <s v="APROBADO"/>
    <n v="6"/>
    <s v="PLATAFORMA GUBERNAMENTAL NORTE PISO 7 TORRE VERDE BODEGA DE INVENTARIOS"/>
    <n v="97459"/>
    <s v="PLATAFORMA GUBERNAMENTAL NORTE"/>
    <n v="1709796500"/>
    <s v="GARCES TIPAN TANSHA DEL PILAR"/>
    <s v="S"/>
    <s v="COMPRA"/>
    <s v="ACTA"/>
    <n v="442"/>
    <s v="LEGALIZADO"/>
    <s v="S"/>
    <s v="S"/>
    <s v="PROVEEDOR MUEBLES PJ COMPROMISO Y CALIDAD RUC 1003020680001, ARMARIO 900MM X 350MM X 2000MM, ARCHIVADOR BAJO CARPETAS COLGANTES OC CE20240002721951 CE20240002721952"/>
    <n v="840103"/>
    <x v="1"/>
    <s v="S"/>
    <d v="2024-12-09T00:00:00"/>
    <d v="2024-12-09T00:00:00"/>
    <d v="2026-02-28T00:00:00"/>
    <n v="10"/>
    <d v="2034-12-06T00:00:00"/>
    <n v="146"/>
    <n v="14.6"/>
    <n v="129.88999999999999"/>
    <n v="16.11"/>
    <s v="N"/>
  </r>
  <r>
    <n v="39429149"/>
    <s v=""/>
    <s v="300800040002"/>
    <n v="22"/>
    <s v="BLD"/>
    <s v="MUEBLES DE USO GENERAL/ARMARIO/METAL"/>
    <s v="39429149"/>
    <s v=""/>
    <s v=""/>
    <m/>
    <m/>
    <n v="146"/>
    <m/>
    <s v="NEGRO"/>
    <s v="METAL"/>
    <s v="900 MM X 350 MM X 2000 MM"/>
    <s v="BUENO"/>
    <s v="S"/>
    <s v="APROBADO"/>
    <n v="6"/>
    <s v="PLATAFORMA GUBERNAMENTAL NORTE PISO 7 TORRE VERDE BODEGA DE INVENTARIOS"/>
    <n v="97459"/>
    <s v="PLATAFORMA GUBERNAMENTAL NORTE"/>
    <n v="103542908"/>
    <s v="MACHUCA PALACIOS SONIA VERONICA"/>
    <s v="S"/>
    <s v="COMPRA"/>
    <s v="ACTA"/>
    <n v="442"/>
    <s v="LEGALIZADO"/>
    <s v="S"/>
    <s v="S"/>
    <s v="PROVEEDOR MUEBLES PJ COMPROMISO Y CALIDAD RUC 1003020680001, ARMARIO 900MM X 350MM X 2000MM, ARCHIVADOR BAJO CARPETAS COLGANTES OC CE20240002721951 CE20240002721952"/>
    <n v="840103"/>
    <x v="1"/>
    <s v="S"/>
    <d v="2024-12-09T00:00:00"/>
    <d v="2024-12-09T00:00:00"/>
    <d v="2026-02-28T00:00:00"/>
    <n v="10"/>
    <d v="2034-12-06T00:00:00"/>
    <n v="146"/>
    <n v="14.6"/>
    <n v="129.88999999999999"/>
    <n v="16.11"/>
    <s v="N"/>
  </r>
  <r>
    <n v="39429150"/>
    <s v=""/>
    <s v="300800040002"/>
    <n v="22"/>
    <s v="BLD"/>
    <s v="MUEBLES DE USO GENERAL/ARMARIO/METAL"/>
    <s v="39429150"/>
    <s v=""/>
    <s v=""/>
    <m/>
    <m/>
    <n v="146"/>
    <m/>
    <s v="NEGRO"/>
    <s v="METAL"/>
    <s v="900 MM X 350 MM X 2000 MM"/>
    <s v="BUENO"/>
    <s v="S"/>
    <s v="APROBADO"/>
    <n v="6"/>
    <s v="PLATAFORMA GUBERNAMENTAL NORTE PISO 7 TORRE VERDE BODEGA DE INVENTARIOS"/>
    <n v="97459"/>
    <s v="PLATAFORMA GUBERNAMENTAL NORTE"/>
    <n v="1709459232"/>
    <s v="PALACIOS CORONEL DIANA ALEXANDRA"/>
    <s v="S"/>
    <s v="COMPRA"/>
    <s v="ACTA"/>
    <n v="442"/>
    <s v="LEGALIZADO"/>
    <s v="S"/>
    <s v="S"/>
    <s v="PROVEEDOR MUEBLES PJ COMPROMISO Y CALIDAD RUC 1003020680001, ARMARIO 900MM X 350MM X 2000MM, ARCHIVADOR BAJO CARPETAS COLGANTES OC CE20240002721951 CE20240002721952"/>
    <n v="840103"/>
    <x v="1"/>
    <s v="S"/>
    <d v="2024-12-09T00:00:00"/>
    <d v="2024-12-09T00:00:00"/>
    <d v="2026-02-28T00:00:00"/>
    <n v="10"/>
    <d v="2034-12-06T00:00:00"/>
    <n v="146"/>
    <n v="14.6"/>
    <n v="129.88999999999999"/>
    <n v="16.11"/>
    <s v="N"/>
  </r>
  <r>
    <n v="39429151"/>
    <s v=""/>
    <s v="300800040002"/>
    <n v="22"/>
    <s v="BLD"/>
    <s v="MUEBLES DE USO GENERAL/ARMARIO/METAL"/>
    <s v="39429151"/>
    <s v=""/>
    <s v=""/>
    <m/>
    <m/>
    <n v="146"/>
    <m/>
    <s v="NEGRO"/>
    <s v="METAL"/>
    <s v="900 MM X 350 MM X 2000 MM"/>
    <s v="BUENO"/>
    <s v="S"/>
    <s v="APROBADO"/>
    <n v="6"/>
    <s v="PLATAFORMA GUBERNAMENTAL NORTE PISO 7 TORRE VERDE BODEGA DE INVENTARIOS"/>
    <n v="97459"/>
    <s v="PLATAFORMA GUBERNAMENTAL NORTE"/>
    <n v="1709459232"/>
    <s v="PALACIOS CORONEL DIANA ALEXANDRA"/>
    <s v="S"/>
    <s v="COMPRA"/>
    <s v="ACTA"/>
    <n v="442"/>
    <s v="LEGALIZADO"/>
    <s v="S"/>
    <s v="S"/>
    <s v="PROVEEDOR MUEBLES PJ COMPROMISO Y CALIDAD RUC 1003020680001, ARMARIO 900MM X 350MM X 2000MM, ARCHIVADOR BAJO CARPETAS COLGANTES OC CE20240002721951 CE20240002721952"/>
    <n v="840103"/>
    <x v="1"/>
    <s v="S"/>
    <d v="2024-12-09T00:00:00"/>
    <d v="2024-12-09T00:00:00"/>
    <d v="2026-02-28T00:00:00"/>
    <n v="10"/>
    <d v="2034-12-06T00:00:00"/>
    <n v="146"/>
    <n v="14.6"/>
    <n v="129.88999999999999"/>
    <n v="16.11"/>
    <s v="N"/>
  </r>
  <r>
    <n v="19762152"/>
    <s v=""/>
    <s v="401300270001"/>
    <n v="20"/>
    <s v="BLD"/>
    <s v="EQUIPOS Y MEDIOS DE COMUNICACION/SMART TV MINIX"/>
    <s v="19762152"/>
    <s v="LG TV LED 55 SMART WEB OS 3.5/HDMI/USB/ISDBT/OS"/>
    <s v="LG"/>
    <s v="N"/>
    <m/>
    <n v="1088.6400000000001"/>
    <s v="N"/>
    <s v="NEGRO"/>
    <s v="VARIOS COMPONENTES ELECTRÓNICOS"/>
    <s v="55 PULGADAS TV"/>
    <s v="BUENO"/>
    <s v="S"/>
    <s v="APROBADO"/>
    <n v="6"/>
    <s v="PLATAFORMA GUBERNAMENTAL NORTE PISO 7 TORRE VERDE BODEGA DE INVENTARIOS"/>
    <n v="97459"/>
    <s v="PLATAFORMA GUBERNAMENTAL NORTE"/>
    <n v="1719443135"/>
    <s v="CARRILLO CHUQUITARCO DIEGO FERNANDO"/>
    <s v="S"/>
    <s v="COMPRA"/>
    <s v="ACTA"/>
    <n v="573"/>
    <s v="LEGALIZADO"/>
    <s v="S"/>
    <s v="S"/>
    <s v="COMPRA DE 1 TELEVISION lg tv led 55 smart web os 3.5hdmiusbisdbtos"/>
    <n v="840104"/>
    <x v="2"/>
    <s v="S"/>
    <d v="2017-11-27T00:00:00"/>
    <d v="2017-11-27T00:00:00"/>
    <d v="2026-02-28T00:00:00"/>
    <n v="10"/>
    <d v="2027-11-24T00:00:00"/>
    <n v="1088.6400000000001"/>
    <n v="108.86"/>
    <n v="279.10000000000002"/>
    <n v="809.54"/>
    <s v="N"/>
  </r>
  <r>
    <n v="40135623"/>
    <s v=""/>
    <s v="401800380001"/>
    <n v="5"/>
    <s v="BLD"/>
    <s v="EQUIPO DE USO GENERAL/DONGLE"/>
    <s v="40135623"/>
    <s v=""/>
    <s v=""/>
    <m/>
    <m/>
    <n v="102"/>
    <m/>
    <s v="NEGRO"/>
    <s v="PLASTICO"/>
    <s v="10CM"/>
    <s v="BUENO"/>
    <s v="S"/>
    <s v="APROBADO"/>
    <n v="6"/>
    <s v="PLATAFORMA GUBERNAMENTAL NORTE PISO 7 TORRE VERDE BODEGA DE INVENTARIOS"/>
    <n v="97459"/>
    <s v="PLATAFORMA GUBERNAMENTAL NORTE"/>
    <n v="1714641105"/>
    <s v="RODRIGUEZ LOPEZ DAVID RAFAEL"/>
    <s v="S"/>
    <s v="DONACION"/>
    <s v="ACTA"/>
    <s v="No Aplica"/>
    <s v="LEGALIZADO"/>
    <s v="S"/>
    <s v="S"/>
    <s v="TRANSFERENCIA GRATUITA DE EQUIPOS BIOMÉTRICOS DE PAGO (DONGLE LD-4494405AF-15636 SERIE 1205025699 Y LECTOR BIOMETRICO LD-4495374AF-16607 SERIE FP097696) CON OFICIO MEF-DA-2025-0163-O DE 10 DE JULIO DE 2025 Y ACTA SUSCRITA DE 18 DE JUNIO DE 2025"/>
    <n v="0"/>
    <x v="2"/>
    <s v="S"/>
    <d v="2025-07-17T00:00:00"/>
    <d v="2025-07-17T00:00:00"/>
    <d v="2026-02-28T00:00:00"/>
    <n v="3"/>
    <d v="2028-07-15T00:00:00"/>
    <n v="102"/>
    <n v="10.199999999999999"/>
    <n v="82.96"/>
    <n v="19.04"/>
    <s v="N"/>
  </r>
  <r>
    <n v="30555422"/>
    <s v=""/>
    <s v="401700090001"/>
    <n v="3"/>
    <s v="BLD"/>
    <s v="EQUIPOS DE USO RECREATIVO Y DEPORTIVO/CARPA/CARPA DE 3X3"/>
    <s v="30555422"/>
    <s v="N/A CARPA CON LOGOTIPO INSTITUCIONAL DE LONA REFORZADA"/>
    <s v="SIN MARCA / ESTRUCTURA METALICA"/>
    <s v="N"/>
    <m/>
    <n v="336"/>
    <s v="N"/>
    <s v="NEGRO"/>
    <s v="LONA REFORZADA Y ESTRUCTURA DE METAL"/>
    <s v="3 X 3 METROS"/>
    <s v="BUENO"/>
    <s v="S"/>
    <s v="APROBADO"/>
    <n v="6"/>
    <s v="PLATAFORMA GUBERNAMENTAL NORTE PISO 7 TORRE VERDE BODEGA DE INVENTARIOS"/>
    <n v="97459"/>
    <s v="PLATAFORMA GUBERNAMENTAL NORTE"/>
    <n v="1717662512"/>
    <s v="FLORES FLORES JOFFRE FABIAN"/>
    <s v="S"/>
    <s v="INCORPBLD"/>
    <s v="ACTA"/>
    <s v="No Aplica"/>
    <s v="LEGALIZADO"/>
    <s v="S"/>
    <s v="S"/>
    <s v="INCORPORACION DE CARPAS CO LOGOTIPO INSTITUCIONAL ADQUIRIDAS MEDIANTE FACTURA NRO. 001-001-001038 DE FECHA 03 DE COTUBRE DE 2019 MEDIANTE INFIMA CUANTA COMO PRODUCTOS DE COMUNICACIN"/>
    <n v="0"/>
    <x v="2"/>
    <s v="S"/>
    <d v="2020-03-03T00:00:00"/>
    <d v="2019-10-03T00:00:00"/>
    <d v="2026-02-28T00:00:00"/>
    <n v="10"/>
    <d v="2029-09-29T00:00:00"/>
    <n v="336"/>
    <n v="33.6"/>
    <n v="142.01"/>
    <n v="193.99"/>
    <s v="N"/>
  </r>
  <r>
    <n v="30555423"/>
    <s v=""/>
    <s v="401700090001"/>
    <n v="3"/>
    <s v="BLD"/>
    <s v="EQUIPOS DE USO RECREATIVO Y DEPORTIVO/CARPA/CARPA DE 3X3"/>
    <s v="30555423"/>
    <s v="N/A CARPA CON LOGOTIPO INSTITUCIONAL DE LONA REFORZADA"/>
    <s v="SIN MARCA / ESTRUCTURA METALICA "/>
    <s v="N"/>
    <m/>
    <n v="336"/>
    <s v="N"/>
    <s v="NEGRO"/>
    <s v="LONA REFORZADA Y ESTRUCTURA DE METAL"/>
    <s v="3 X 3 METROS"/>
    <s v="BUENO"/>
    <s v="S"/>
    <s v="APROBADO"/>
    <n v="6"/>
    <s v="PLATAFORMA GUBERNAMENTAL NORTE PISO 7 TORRE VERDE BODEGA DE INVENTARIOS"/>
    <n v="97459"/>
    <s v="PLATAFORMA GUBERNAMENTAL NORTE"/>
    <n v="1717662512"/>
    <s v="FLORES FLORES JOFFRE FABIAN"/>
    <s v="S"/>
    <s v="INCORPBLD"/>
    <s v="ACTA"/>
    <s v="No Aplica"/>
    <s v="LEGALIZADO"/>
    <s v="S"/>
    <s v="S"/>
    <s v="INCORPORACION DE CARPAS CO LOGOTIPO INSTITUCIONAL ADQUIRIDAS MEDIANTE FACTURA NRO. 001-001-001038 DE FECHA 03 DE COTUBRE DE 2019 MEDIANTE INFIMA CUANTA COMO PRODUCTOS DE COMUNICACIN"/>
    <n v="0"/>
    <x v="2"/>
    <s v="S"/>
    <d v="2020-03-03T00:00:00"/>
    <d v="2019-10-03T00:00:00"/>
    <d v="2026-02-28T00:00:00"/>
    <n v="10"/>
    <d v="2029-09-29T00:00:00"/>
    <n v="336"/>
    <n v="33.6"/>
    <n v="142.01"/>
    <n v="193.99"/>
    <s v="N"/>
  </r>
  <r>
    <n v="19573954"/>
    <s v=""/>
    <s v="400100440001"/>
    <n v="16"/>
    <s v="BLD"/>
    <s v="EQUIPOS DE OFICINA Y ADMINISTRACION/PROYECTOR"/>
    <s v="19573954"/>
    <s v="PROYECTOR EPSON S31+ PANTALLA LCD 0.55 CON D7"/>
    <s v="EPSON / 3200 LUMEN EN LUZ A COLOR Y BLANCA RESOLUCION SVGA 800X600 4:3 CONECTIVIDAD 3 EN 1"/>
    <s v="N"/>
    <m/>
    <n v="593.6"/>
    <s v="N"/>
    <s v="NEGRO"/>
    <s v="PLASTICO- VIDRIO - METAL"/>
    <s v="29.7CM X 23.4 CMM X8.2CM"/>
    <s v="BUENO"/>
    <s v="S"/>
    <s v="APROBADO"/>
    <n v="6"/>
    <s v="PLATAFORMA GUBERNAMENTAL NORTE PISO 7 TORRE VERDE BODEGA DE INVENTARIOS"/>
    <n v="97459"/>
    <s v="PLATAFORMA GUBERNAMENTAL NORTE"/>
    <n v="1717662512"/>
    <s v="FLORES FLORES JOFFRE FABIAN"/>
    <s v="S"/>
    <s v="COMPRA"/>
    <s v="ACTA"/>
    <n v="556"/>
    <s v="LEGALIZADO"/>
    <s v="S"/>
    <s v="S"/>
    <s v="COMPRA DE UN PROYECTOR EPSON S31 DE 3200 LIMENS HDMI-VGA INCLUYE MALETA DE TRANSPORTE, CONTROL DE PILAS, CABLE VGA MANUALES"/>
    <n v="840104"/>
    <x v="2"/>
    <s v="S"/>
    <d v="2017-11-16T00:00:00"/>
    <d v="2017-11-22T00:00:00"/>
    <d v="2026-02-28T00:00:00"/>
    <n v="10"/>
    <d v="2027-11-19T00:00:00"/>
    <n v="593.6"/>
    <n v="59.36"/>
    <n v="151.38999999999999"/>
    <n v="442.21"/>
    <s v="N"/>
  </r>
  <r>
    <n v="19971132"/>
    <s v=""/>
    <s v="401100410001"/>
    <n v="21"/>
    <s v="BLD"/>
    <s v="EQUIPOS DE PRENSA; RADIO Y TELEVISION/FILMADORA"/>
    <s v="19971132"/>
    <s v="FDR-AX53/ VIDEO CAMARA / MODO ACTIVO INTELIGENTE DE 5EJES /LENTE GRAN ANGULAR ZEISS"/>
    <s v="SONY / GRABACION 4K/ ULTRA HD / BALANCED OPTICAL"/>
    <s v="N"/>
    <m/>
    <n v="1545.6"/>
    <s v="N"/>
    <s v="NEGRO"/>
    <s v="PASTICO-VIDRIO I SILICIO-METAL"/>
    <s v="LARGO 16 CM ANCHO 6 CM PROF 7.5 CM"/>
    <s v="BUENO"/>
    <s v="S"/>
    <s v="APROBADO"/>
    <n v="6"/>
    <s v="PLATAFORMA GUBERNAMENTAL NORTE PISO 7 TORRE VERDE BODEGA DE INVENTARIOS"/>
    <n v="97459"/>
    <s v="PLATAFORMA GUBERNAMENTAL NORTE"/>
    <n v="1717662512"/>
    <s v="FLORES FLORES JOFFRE FABIAN"/>
    <s v="S"/>
    <s v="COMPRA"/>
    <s v="ACTA"/>
    <n v="592"/>
    <s v="LEGALIZADO"/>
    <s v="S"/>
    <s v="S"/>
    <s v="COMPRA DE UNA CAMARA FILMADORA FAX-AX53 SONY 4K, 2 DISCOS DUROS EXTERNOS DE 2TBRUGGET THUMBERBOLT, 1 PARLANTE PORTABLE SOUND LINK BOSE"/>
    <n v="840104"/>
    <x v="2"/>
    <s v="S"/>
    <d v="2017-12-12T00:00:00"/>
    <d v="2017-12-12T00:00:00"/>
    <d v="2026-02-28T00:00:00"/>
    <n v="10"/>
    <d v="2027-12-09T00:00:00"/>
    <n v="1545.6"/>
    <n v="154.56"/>
    <n v="401.97"/>
    <n v="1143.6300000000001"/>
    <s v="N"/>
  </r>
  <r>
    <n v="26437577"/>
    <s v=""/>
    <s v="400100220001"/>
    <n v="10"/>
    <s v="BLD"/>
    <s v="EQUIPOS DE OFICINA Y ADMINISTRACION/LECTOR BIOMETRICO"/>
    <s v="26437577"/>
    <s v="ZKTeco k50 / Pantalla TFT LCD a color de 2.8 pulgadas"/>
    <s v="ZKTeco/ Interfaz TCP/IP y puerto USB"/>
    <s v="N"/>
    <m/>
    <n v="300"/>
    <s v="N"/>
    <s v="NEGRO"/>
    <s v="PLASTICO- METAL"/>
    <s v="PANTALLA DE 2.8 &quot; 185 x 140 x 30 mm"/>
    <s v="BUENO"/>
    <s v="S"/>
    <s v="APROBADO"/>
    <n v="6"/>
    <s v="PLATAFORMA GUBERNAMENTAL NORTE PISO 7 TORRE VERDE BODEGA DE INVENTARIOS"/>
    <n v="97459"/>
    <s v="PLATAFORMA GUBERNAMENTAL NORTE"/>
    <n v="1717662512"/>
    <s v="FLORES FLORES JOFFRE FABIAN"/>
    <s v="S"/>
    <s v="DONACION"/>
    <s v="ACTA"/>
    <s v="No Aplica"/>
    <s v="LEGALIZADO"/>
    <s v="S"/>
    <s v="S"/>
    <s v="DONACION DE UN BIOMETRICO ZK TECO MODELO K50 POR PARTE DE CLS ELECTRONICS"/>
    <n v="0"/>
    <x v="2"/>
    <s v="S"/>
    <d v="2018-12-14T00:00:00"/>
    <d v="2018-12-11T00:00:00"/>
    <d v="2026-02-28T00:00:00"/>
    <n v="10"/>
    <d v="2028-12-07T00:00:00"/>
    <n v="300"/>
    <n v="30"/>
    <n v="104.96"/>
    <n v="195.04"/>
    <s v="N"/>
  </r>
  <r>
    <n v="40577385"/>
    <s v=""/>
    <s v="400100410002"/>
    <n v="40"/>
    <s v="BLD"/>
    <s v="EQUIPOS DE OFICINA Y ADMINISTRACION/TELEFONOS/TELEFONO MOVIL"/>
    <s v="865086053575323"/>
    <s v="X3"/>
    <s v="POCO"/>
    <m/>
    <m/>
    <n v="250"/>
    <m/>
    <s v="NEGRO"/>
    <s v="PLASTICO Y VIDRIO"/>
    <s v="165.3 mm de alto, 76.8 mm de ancho y 9.4 mm de gro"/>
    <s v="BUENO"/>
    <s v="S"/>
    <s v="APROBADO"/>
    <n v="6"/>
    <s v="PLATAFORMA GUBERNAMENTAL NORTE PISO 7 TORRE VERDE BODEGA DE INVENTARIOS"/>
    <n v="97459"/>
    <s v="PLATAFORMA GUBERNAMENTAL NORTE"/>
    <n v="1717662512"/>
    <s v="FLORES FLORES JOFFRE FABIAN"/>
    <s v="S"/>
    <s v="DONACION"/>
    <s v="ACTA"/>
    <s v="No Aplica"/>
    <s v="LEGALIZADO"/>
    <s v="S"/>
    <s v="S"/>
    <s v="DONACION CELULAR POR PARTE DE UNHCR ACNUR CONFORME ACTA DE DONACIÓN SUSCRITA SERIE 865086053575323, MODELO X3, MARCA POCO"/>
    <n v="0"/>
    <x v="2"/>
    <s v="S"/>
    <d v="2025-11-07T00:00:00"/>
    <d v="2025-11-07T00:00:00"/>
    <d v="2026-02-28T00:00:00"/>
    <n v="1"/>
    <d v="2026-11-06T00:00:00"/>
    <n v="250"/>
    <n v="25"/>
    <n v="179.73"/>
    <n v="70.27"/>
    <s v="N"/>
  </r>
  <r>
    <n v="40577388"/>
    <s v=""/>
    <s v="400100410002"/>
    <n v="41"/>
    <s v="BLD"/>
    <s v="EQUIPOS DE OFICINA Y ADMINISTRACION/TELEFONOS/TELEFONO MOVIL"/>
    <s v="860793056337560"/>
    <s v="X3"/>
    <s v="POCO"/>
    <m/>
    <m/>
    <n v="250"/>
    <m/>
    <s v="NEGRO"/>
    <s v="PLASTICO Y VIDRIO"/>
    <s v="165.3 mm de alto, 76.8 mm de ancho y 9.4 mm de gro"/>
    <s v="BUENO"/>
    <s v="S"/>
    <s v="APROBADO"/>
    <n v="6"/>
    <s v="PLATAFORMA GUBERNAMENTAL NORTE PISO 7 TORRE VERDE BODEGA DE INVENTARIOS"/>
    <n v="97459"/>
    <s v="PLATAFORMA GUBERNAMENTAL NORTE"/>
    <n v="1717662512"/>
    <s v="FLORES FLORES JOFFRE FABIAN"/>
    <s v="S"/>
    <s v="DONACION"/>
    <s v="ACTA"/>
    <s v="No Aplica"/>
    <s v="LEGALIZADO"/>
    <s v="S"/>
    <s v="S"/>
    <s v="DONACION CELULAR POR PARTE DE UNHCR ACNUR CONFORME ACTA DE DONACIÓN SUSCRITA SERIE 860793056337560, MODELO X3, MARCA POCO"/>
    <n v="0"/>
    <x v="2"/>
    <s v="S"/>
    <d v="2025-11-07T00:00:00"/>
    <d v="2025-11-07T00:00:00"/>
    <d v="2026-02-28T00:00:00"/>
    <n v="1"/>
    <d v="2026-11-06T00:00:00"/>
    <n v="250"/>
    <n v="25"/>
    <n v="179.73"/>
    <n v="70.27"/>
    <s v="N"/>
  </r>
  <r>
    <n v="40575434"/>
    <s v=""/>
    <s v="400100410002"/>
    <n v="38"/>
    <s v="BLD"/>
    <s v="EQUIPOS DE OFICINA Y ADMINISTRACION/TELEFONOS/TELEFONO MOVIL"/>
    <s v="868671056270647"/>
    <s v="X3"/>
    <s v="POCO"/>
    <m/>
    <m/>
    <n v="250"/>
    <m/>
    <s v="NEGRO"/>
    <s v="PLASTICO Y VIDRIO"/>
    <s v="165.3 mm de alto, 76.8 mm de ancho y 9.4 mm de gro"/>
    <s v="BUENO"/>
    <s v="S"/>
    <s v="APROBADO"/>
    <n v="6"/>
    <s v="PLATAFORMA GUBERNAMENTAL NORTE PISO 7 TORRE VERDE BODEGA DE INVENTARIOS"/>
    <n v="97459"/>
    <s v="PLATAFORMA GUBERNAMENTAL NORTE"/>
    <n v="1717662512"/>
    <s v="FLORES FLORES JOFFRE FABIAN"/>
    <s v="S"/>
    <s v="DONACION"/>
    <s v="ACTA"/>
    <s v="No Aplica"/>
    <s v="LEGALIZADO"/>
    <s v="S"/>
    <s v="S"/>
    <s v="DONACION CELULAR POR PARTE DE UNHCR ACNUR CONFORME ACTA DE DONACIÓN SUSCRITA SERIE 868671056270647, MODELO X3, MARCA POCO"/>
    <n v="0"/>
    <x v="2"/>
    <s v="S"/>
    <d v="2025-11-07T00:00:00"/>
    <d v="2025-11-07T00:00:00"/>
    <d v="2026-02-28T00:00:00"/>
    <n v="1"/>
    <d v="2026-11-06T00:00:00"/>
    <n v="250"/>
    <n v="25"/>
    <n v="179.73"/>
    <n v="70.27"/>
    <s v="N"/>
  </r>
  <r>
    <n v="40565677"/>
    <s v=""/>
    <s v="400100410002"/>
    <n v="30"/>
    <s v="BLD"/>
    <s v="EQUIPOS DE OFICINA Y ADMINISTRACION/TELEFONOS/TELEFONO MOVIL"/>
    <s v="860685051745625"/>
    <s v="X3"/>
    <s v="POCO"/>
    <m/>
    <m/>
    <n v="250"/>
    <m/>
    <s v="NEGRO"/>
    <s v="PLASTICO Y VIDRIO"/>
    <s v="165.3 mm de alto, 76.8 mm de ancho y 9.4 mm de gro"/>
    <s v="BUENO"/>
    <s v="S"/>
    <s v="APROBADO"/>
    <n v="6"/>
    <s v="PLATAFORMA GUBERNAMENTAL NORTE PISO 7 TORRE VERDE BODEGA DE INVENTARIOS"/>
    <n v="97459"/>
    <s v="PLATAFORMA GUBERNAMENTAL NORTE"/>
    <n v="1717662512"/>
    <s v="FLORES FLORES JOFFRE FABIAN"/>
    <s v="S"/>
    <s v="DONACION"/>
    <s v="ACTA"/>
    <s v="No Aplica"/>
    <s v="LEGALIZADO"/>
    <s v="S"/>
    <s v="S"/>
    <s v="DONACION CELULAR POR PARTE DE UNHCR ACNUR CONFORME ACTA DE DONACIÓN SUSCRITA SERIE 860685051745625, MODELO X3, MARCA POCO"/>
    <n v="0"/>
    <x v="2"/>
    <s v="S"/>
    <d v="2025-11-06T00:00:00"/>
    <d v="2025-11-06T00:00:00"/>
    <d v="2026-02-28T00:00:00"/>
    <n v="1"/>
    <d v="2026-11-05T00:00:00"/>
    <n v="250"/>
    <n v="25"/>
    <n v="179.11"/>
    <n v="70.89"/>
    <s v="N"/>
  </r>
  <r>
    <n v="40576115"/>
    <s v=""/>
    <s v="400100410002"/>
    <n v="39"/>
    <s v="BLD"/>
    <s v="EQUIPOS DE OFICINA Y ADMINISTRACION/TELEFONOS/TELEFONO MOVIL"/>
    <s v="868671056268567"/>
    <s v="X3"/>
    <s v="POCO"/>
    <m/>
    <m/>
    <n v="250"/>
    <m/>
    <s v="NEGRO"/>
    <s v="PLASTICO Y VIDRIO"/>
    <s v="165.3 mm de alto, 76.8 mm de ancho y 9.4 mm de gro"/>
    <s v="BUENO"/>
    <s v="S"/>
    <s v="APROBADO"/>
    <n v="6"/>
    <s v="PLATAFORMA GUBERNAMENTAL NORTE PISO 7 TORRE VERDE BODEGA DE INVENTARIOS"/>
    <n v="97459"/>
    <s v="PLATAFORMA GUBERNAMENTAL NORTE"/>
    <n v="1717662512"/>
    <s v="FLORES FLORES JOFFRE FABIAN"/>
    <s v="S"/>
    <s v="DONACION"/>
    <s v="ACTA"/>
    <s v="No Aplica"/>
    <s v="LEGALIZADO"/>
    <s v="S"/>
    <s v="S"/>
    <s v="DONACION CELULAR POR PARTE DE UNHCR ACNUR CONFORME ACTA DE DONACIÓN SUSCRITA SERIE 868671056268567, MODELO X3, MARCA POCO"/>
    <n v="0"/>
    <x v="2"/>
    <s v="S"/>
    <d v="2025-11-07T00:00:00"/>
    <d v="2025-11-07T00:00:00"/>
    <d v="2026-02-28T00:00:00"/>
    <n v="1"/>
    <d v="2026-11-06T00:00:00"/>
    <n v="250"/>
    <n v="25"/>
    <n v="179.73"/>
    <n v="70.27"/>
    <s v="N"/>
  </r>
  <r>
    <n v="40565429"/>
    <s v=""/>
    <s v="400100410002"/>
    <n v="28"/>
    <s v="BLD"/>
    <s v="EQUIPOS DE OFICINA Y ADMINISTRACION/TELEFONOS/TELEFONO MOVIL"/>
    <s v="40565429"/>
    <s v="X3"/>
    <s v="POCO"/>
    <m/>
    <m/>
    <n v="250"/>
    <m/>
    <s v="NEGRO"/>
    <s v="PLASTICO Y VIDRIO"/>
    <s v="165.3 mm de alto, 76.8 mm de ancho y 9.4 mm de gro"/>
    <s v="BUENO"/>
    <s v="S"/>
    <s v="APROBADO"/>
    <n v="6"/>
    <s v="PLATAFORMA GUBERNAMENTAL NORTE PISO 7 TORRE VERDE BODEGA DE INVENTARIOS"/>
    <n v="97459"/>
    <s v="PLATAFORMA GUBERNAMENTAL NORTE"/>
    <n v="1717662512"/>
    <s v="FLORES FLORES JOFFRE FABIAN"/>
    <s v="S"/>
    <s v="DONACION"/>
    <s v="ACTA"/>
    <s v="No Aplica"/>
    <s v="LEGALIZADO"/>
    <s v="S"/>
    <s v="S"/>
    <s v="DONACION CELULAR POR PARTE DE UNHCR ACNUR CONFORME ACTA DE DONACIÓN SUSCRITA SERIE 860685051710942, MODELO X3, MARCA POCO"/>
    <n v="0"/>
    <x v="2"/>
    <s v="S"/>
    <d v="2025-11-06T00:00:00"/>
    <d v="2025-11-06T00:00:00"/>
    <d v="2026-02-28T00:00:00"/>
    <n v="1"/>
    <d v="2026-11-05T00:00:00"/>
    <n v="250"/>
    <n v="25"/>
    <n v="179.11"/>
    <n v="70.89"/>
    <s v="N"/>
  </r>
  <r>
    <n v="41027642"/>
    <s v=""/>
    <s v="401101010001"/>
    <n v="1"/>
    <s v="BLD"/>
    <s v="EQUIPOS DE PRENSA; RADIO Y TELEVISION/SISTEMA DE VIDEO CONFERENCIA"/>
    <s v="41027642"/>
    <s v=""/>
    <s v=""/>
    <m/>
    <m/>
    <n v="3615"/>
    <m/>
    <s v="BLANCO"/>
    <s v="PLASTICO"/>
    <s v="(910x164x130.5 mm)"/>
    <s v="BUENO"/>
    <s v="S"/>
    <s v="APROBADO"/>
    <n v="6"/>
    <s v="PLATAFORMA GUBERNAMENTAL NORTE PISO 7 TORRE VERDE BODEGA DE INVENTARIOS"/>
    <n v="97459"/>
    <s v="PLATAFORMA GUBERNAMENTAL NORTE"/>
    <n v="1717662512"/>
    <s v="FLORES FLORES JOFFRE FABIAN"/>
    <s v="S"/>
    <s v="DONACION"/>
    <s v="ACTA"/>
    <s v="No Aplica"/>
    <s v="LEGALIZADO"/>
    <s v="S"/>
    <s v="S"/>
    <s v="DONACION DE EQUIPO DE VIDEOCONFERENCIA DE MARCA CISCO ROOM KIT MINI Y MODELO CS-KIT-MINI-K9 POR PARTE DE LA OFICINA DEL ALTO COMISIONADO DE LAS NACIONES UNIDAS PARA LOS REFUGIADOS - ACNUR"/>
    <n v="0"/>
    <x v="2"/>
    <s v="S"/>
    <d v="2026-02-24T00:00:00"/>
    <d v="2026-02-24T00:00:00"/>
    <d v="2026-02-28T00:00:00"/>
    <n v="7"/>
    <d v="2033-02-21T00:00:00"/>
    <n v="3615"/>
    <n v="361.5"/>
    <n v="3608.63"/>
    <n v="6.37"/>
    <s v="N"/>
  </r>
  <r>
    <n v="40135622"/>
    <s v=""/>
    <s v="700100180001"/>
    <n v="5"/>
    <s v="BLD"/>
    <s v="EQUIPO ELECTRONICO/DISPOSITIVO BIOMETRICO"/>
    <s v="40135622"/>
    <s v=""/>
    <s v=""/>
    <m/>
    <m/>
    <n v="157"/>
    <m/>
    <s v="NEGRO Y PLATEADO"/>
    <s v="PLASTICO"/>
    <s v="15CM"/>
    <s v="BUENO"/>
    <s v="S"/>
    <s v="APROBADO"/>
    <n v="6"/>
    <s v="PLATAFORMA GUBERNAMENTAL NORTE PISO 7 TORRE VERDE BODEGA DE INVENTARIOS"/>
    <n v="97459"/>
    <s v="PLATAFORMA GUBERNAMENTAL NORTE"/>
    <n v="1714641105"/>
    <s v="RODRIGUEZ LOPEZ DAVID RAFAEL"/>
    <s v="S"/>
    <s v="DONACION"/>
    <s v="ACTA"/>
    <s v="No Aplica"/>
    <s v="LEGALIZADO"/>
    <s v="S"/>
    <s v="S"/>
    <s v="TRANSFERENCIA GRATUITA DE EQUIPOS BIOMÉTRICOS DE PAGO (DONGLE LD-4494405AF-15636 SERIE 1205025699 Y LECTOR BIOMETRICO LD-4495374AF-16607 SERIE FP097696) CON OFICIO MEF-DA-2025-0163-O DE 10 DE JULIO DE 2025 Y ACTA SUSCRITA DE 18 DE JUNIO DE 2025"/>
    <n v="0"/>
    <x v="3"/>
    <s v="S"/>
    <d v="2025-07-17T00:00:00"/>
    <d v="2025-07-17T00:00:00"/>
    <d v="2026-02-28T00:00:00"/>
    <n v="3"/>
    <d v="2028-07-15T00:00:00"/>
    <n v="157"/>
    <n v="15.7"/>
    <n v="127.71"/>
    <n v="29.29"/>
    <s v="N"/>
  </r>
  <r>
    <n v="35650854"/>
    <s v="17784915"/>
    <s v="700100070001"/>
    <n v="425297"/>
    <s v="BLD"/>
    <s v="EQUIPO ELECTRONICO/COMPUTADORA PORTATIL"/>
    <s v="102BYD2"/>
    <s v="102BYD2"/>
    <s v="QUASAD"/>
    <s v="N"/>
    <m/>
    <n v="1085.17"/>
    <s v="N"/>
    <s v="NEGRO"/>
    <s v="ELECTRONICO"/>
    <s v="NO APLICA"/>
    <s v="BUENO"/>
    <s v="S"/>
    <s v="APROBADO"/>
    <n v="6"/>
    <s v="PLATAFORMA GUBERNAMENTAL NORTE PISO 7 TORRE VERDE BODEGA DE INVENTARIOS"/>
    <n v="97459"/>
    <s v="PLATAFORMA GUBERNAMENTAL NORTE"/>
    <n v="1714641105"/>
    <s v="RODRIGUEZ LOPEZ DAVID RAFAEL"/>
    <s v="S"/>
    <s v="MATRIZ1"/>
    <s v="MATRIZ"/>
    <s v="No Aplica"/>
    <s v="No Aplica"/>
    <s v="No Aplica"/>
    <s v="S"/>
    <s v="EQUIPO ELECTRONICO/COMPUTADORA PORTATIL"/>
    <n v="840107"/>
    <x v="3"/>
    <s v="S"/>
    <d v="2022-11-09T17:04:05"/>
    <d v="2017-07-17T00:00:00"/>
    <d v="2020-07-15T00:00:00"/>
    <n v="3"/>
    <d v="2020-07-15T00:00:00"/>
    <n v="1085.17"/>
    <n v="108.52"/>
    <n v="108.52"/>
    <n v="976.65"/>
    <s v="N"/>
  </r>
  <r>
    <n v="35650855"/>
    <s v="17784916"/>
    <s v="700100070001"/>
    <n v="425297"/>
    <s v="BLD"/>
    <s v="EQUIPO ELECTRONICO/COMPUTADORA PORTATIL"/>
    <s v="8T1BYD2"/>
    <s v="8T1BYD2"/>
    <s v="QUASAD"/>
    <s v="N"/>
    <m/>
    <n v="1085.17"/>
    <s v="N"/>
    <s v="NEGRO"/>
    <s v="ELECTRONICO"/>
    <s v="NO APLICA"/>
    <s v="BUENO"/>
    <s v="S"/>
    <s v="APROBADO"/>
    <n v="6"/>
    <s v="PLATAFORMA GUBERNAMENTAL NORTE PISO 7 TORRE VERDE BODEGA DE INVENTARIOS"/>
    <n v="97459"/>
    <s v="PLATAFORMA GUBERNAMENTAL NORTE"/>
    <n v="1711995694"/>
    <s v="ULLOA MONAR FANNY CRISTINA"/>
    <s v="S"/>
    <s v="MATRIZ1"/>
    <s v="MATRIZ"/>
    <s v="No Aplica"/>
    <s v="No Aplica"/>
    <s v="No Aplica"/>
    <s v="S"/>
    <s v="EQUIPO ELECTRONICO/COMPUTADORA PORTATIL"/>
    <n v="840107"/>
    <x v="3"/>
    <s v="S"/>
    <d v="2022-11-09T17:04:05"/>
    <d v="2017-07-17T00:00:00"/>
    <d v="2020-07-15T00:00:00"/>
    <n v="3"/>
    <d v="2020-07-15T00:00:00"/>
    <n v="1085.17"/>
    <n v="108.52"/>
    <n v="108.52"/>
    <n v="976.65"/>
    <s v="N"/>
  </r>
  <r>
    <n v="35650870"/>
    <s v="19664523"/>
    <s v="700100060001"/>
    <n v="425297"/>
    <s v="BLD"/>
    <s v="EQUIPO ELECTRONICO/COMPUTADOR DE ESCRITORIO"/>
    <s v="CO25T03UGG77"/>
    <s v="CO25T03UGG77"/>
    <s v="APPLE SERIAL C02ST03UGG77"/>
    <s v="N"/>
    <m/>
    <n v="1848"/>
    <s v="N"/>
    <s v="PLOMA CLARA"/>
    <s v="ELECTRONICO"/>
    <s v="NO APLICA"/>
    <s v="BUENO"/>
    <s v="S"/>
    <s v="APROBADO"/>
    <n v="6"/>
    <s v="PLATAFORMA GUBERNAMENTAL NORTE PISO 7 TORRE VERDE BODEGA DE INVENTARIOS"/>
    <n v="97459"/>
    <s v="PLATAFORMA GUBERNAMENTAL NORTE"/>
    <n v="1717662512"/>
    <s v="FLORES FLORES JOFFRE FABIAN"/>
    <s v="S"/>
    <s v="MATRIZ1"/>
    <s v="MATRIZ"/>
    <s v="No Aplica"/>
    <s v="No Aplica"/>
    <s v="No Aplica"/>
    <s v="S"/>
    <s v="EQUIPO ELECTRONICO/COMPUTADOR DE ESCRITORIO"/>
    <n v="840107"/>
    <x v="3"/>
    <s v="S"/>
    <d v="2022-11-09T17:04:05"/>
    <d v="2017-11-20T00:00:00"/>
    <d v="2020-11-18T00:00:00"/>
    <n v="3"/>
    <d v="2020-11-18T00:00:00"/>
    <n v="1848"/>
    <n v="184.8"/>
    <n v="184.8"/>
    <n v="1663.2"/>
    <s v="N"/>
  </r>
  <r>
    <n v="35650871"/>
    <s v="19664524"/>
    <s v="700100450001"/>
    <n v="425297"/>
    <s v="BLD"/>
    <s v="EQUIPO ELECTRONICO/MOUSE"/>
    <s v="FOT646400CEG06GAB"/>
    <s v="TECLADO MAGIC 2 / INALAMBRICO"/>
    <s v="APPLE SERIAL NUMBER FOT646400CEGD6GAB"/>
    <s v="N"/>
    <m/>
    <n v="95.2"/>
    <s v="N"/>
    <s v="BLANCO"/>
    <s v="ELECTRONICO"/>
    <s v="NO APLICA"/>
    <s v="BUENO"/>
    <s v="S"/>
    <s v="APROBADO"/>
    <n v="6"/>
    <s v="PLATAFORMA GUBERNAMENTAL NORTE PISO 7 TORRE VERDE BODEGA DE INVENTARIOS"/>
    <n v="97459"/>
    <s v="PLATAFORMA GUBERNAMENTAL NORTE"/>
    <n v="1717662512"/>
    <s v="FLORES FLORES JOFFRE FABIAN"/>
    <s v="S"/>
    <s v="MATRIZ1"/>
    <s v="MATRIZ"/>
    <s v="No Aplica"/>
    <s v="No Aplica"/>
    <s v="No Aplica"/>
    <s v="S"/>
    <s v="EQUIPO ELECTRONICO/TECLADO"/>
    <n v="0"/>
    <x v="3"/>
    <s v="S"/>
    <d v="2022-11-09T17:04:05"/>
    <d v="2017-11-20T00:00:00"/>
    <d v="2020-11-18T00:00:00"/>
    <n v="3"/>
    <d v="2020-11-18T00:00:00"/>
    <n v="95.2"/>
    <n v="9.52"/>
    <n v="9.52"/>
    <n v="85.68"/>
    <s v="N"/>
  </r>
  <r>
    <n v="35650872"/>
    <s v="19664525"/>
    <s v="700100450001"/>
    <n v="425297"/>
    <s v="BLD"/>
    <s v="EQUIPO ELECTRONICO/MOUSE"/>
    <s v="CC264761RBQGRHQAC"/>
    <s v="MAGIC 2/ COLOR BLANCO INALAMBRICO"/>
    <s v="APPLE SERIAL CC264761RBQGRHQAC"/>
    <s v="N"/>
    <m/>
    <n v="72.8"/>
    <s v="N"/>
    <s v="BLANCO"/>
    <s v="ELECTRONICO"/>
    <s v="NO APLICA"/>
    <s v="BUENO"/>
    <s v="S"/>
    <s v="APROBADO"/>
    <n v="6"/>
    <s v="PLATAFORMA GUBERNAMENTAL NORTE PISO 7 TORRE VERDE BODEGA DE INVENTARIOS"/>
    <n v="97459"/>
    <s v="PLATAFORMA GUBERNAMENTAL NORTE"/>
    <n v="1717662512"/>
    <s v="FLORES FLORES JOFFRE FABIAN"/>
    <s v="S"/>
    <s v="MATRIZ1"/>
    <s v="MATRIZ"/>
    <s v="No Aplica"/>
    <s v="No Aplica"/>
    <s v="No Aplica"/>
    <s v="S"/>
    <s v="EQUIPO ELECTRONICO/MOUSE"/>
    <n v="0"/>
    <x v="3"/>
    <s v="S"/>
    <d v="2022-11-09T17:04:05"/>
    <d v="2017-11-20T00:00:00"/>
    <d v="2020-11-18T00:00:00"/>
    <n v="3"/>
    <d v="2020-11-18T00:00:00"/>
    <n v="72.8"/>
    <n v="7.28"/>
    <n v="7.28"/>
    <n v="65.52"/>
    <s v="N"/>
  </r>
  <r>
    <n v="35650873"/>
    <s v="19685084"/>
    <s v="700100060001"/>
    <n v="425297"/>
    <s v="BLD"/>
    <s v="EQUIPO ELECTRONICO/COMPUTADOR DE ESCRITORIO"/>
    <s v="704NTTQ68817"/>
    <s v="704NTTQ68817"/>
    <s v="HURRICANE / CAPACIDAD 1TB"/>
    <s v="N"/>
    <m/>
    <n v="1163.68"/>
    <s v="N"/>
    <s v="NEGRO"/>
    <s v="ELECTRONICO"/>
    <s v="NO APLICA"/>
    <s v="BUENO"/>
    <s v="S"/>
    <s v="APROBADO"/>
    <n v="6"/>
    <s v="PLATAFORMA GUBERNAMENTAL NORTE PISO 7 TORRE VERDE BODEGA DE INVENTARIOS"/>
    <n v="97459"/>
    <s v="PLATAFORMA GUBERNAMENTAL NORTE"/>
    <n v="401265012"/>
    <s v="GUERRA ASLALEMA DARWIN BAYARDO"/>
    <s v="S"/>
    <s v="MATRIZ1"/>
    <s v="MATRIZ"/>
    <s v="No Aplica"/>
    <s v="No Aplica"/>
    <s v="No Aplica"/>
    <s v="S"/>
    <s v="EQUIPO ELECTRONICO/COMPUTADOR DE ESCRITORIO"/>
    <n v="840107"/>
    <x v="3"/>
    <s v="S"/>
    <d v="2022-11-09T17:04:05"/>
    <d v="2017-11-21T00:00:00"/>
    <d v="2020-11-19T00:00:00"/>
    <n v="3"/>
    <d v="2020-11-19T00:00:00"/>
    <n v="1163.68"/>
    <n v="116.37"/>
    <n v="116.37"/>
    <n v="1047.31"/>
    <s v="N"/>
  </r>
  <r>
    <n v="35650874"/>
    <s v="19685085"/>
    <s v="700100060001"/>
    <n v="425297"/>
    <s v="BLD"/>
    <s v="EQUIPO ELECTRONICO/COMPUTADOR DE ESCRITORIO"/>
    <s v="704NTTQ68836"/>
    <s v="704NTTQ68836"/>
    <s v="HURRICANE / CAPACIDAD 1TB"/>
    <s v="N"/>
    <m/>
    <n v="1163.68"/>
    <s v="N"/>
    <s v="NEGRO"/>
    <s v="ELECTRONICO"/>
    <s v="NO APLICA"/>
    <s v="BUENO"/>
    <s v="S"/>
    <s v="APROBADO"/>
    <n v="6"/>
    <s v="PLATAFORMA GUBERNAMENTAL NORTE PISO 7 TORRE VERDE BODEGA DE INVENTARIOS"/>
    <n v="97459"/>
    <s v="PLATAFORMA GUBERNAMENTAL NORTE"/>
    <n v="1717662512"/>
    <s v="FLORES FLORES JOFFRE FABIAN"/>
    <s v="S"/>
    <s v="MATRIZ1"/>
    <s v="MATRIZ"/>
    <s v="No Aplica"/>
    <s v="No Aplica"/>
    <s v="No Aplica"/>
    <s v="S"/>
    <s v="EQUIPO ELECTRONICO/COMPUTADOR DE ESCRITORIO"/>
    <n v="840107"/>
    <x v="3"/>
    <s v="S"/>
    <d v="2022-11-09T17:04:05"/>
    <d v="2017-11-21T00:00:00"/>
    <d v="2020-11-19T00:00:00"/>
    <n v="3"/>
    <d v="2020-11-19T00:00:00"/>
    <n v="1163.68"/>
    <n v="116.37"/>
    <n v="116.37"/>
    <n v="1047.31"/>
    <s v="N"/>
  </r>
  <r>
    <n v="35650875"/>
    <s v="19685086"/>
    <s v="700100060001"/>
    <n v="425297"/>
    <s v="BLD"/>
    <s v="EQUIPO ELECTRONICO/COMPUTADOR DE ESCRITORIO"/>
    <s v="704NTTQ68822"/>
    <s v="704NTTQ68822"/>
    <s v="HURRICANE / CAPACIDAD 1TB"/>
    <s v="N"/>
    <m/>
    <n v="1163.68"/>
    <s v="N"/>
    <s v="NEGRO"/>
    <s v="ELECTRONICO"/>
    <s v="NO APLICA"/>
    <s v="BUENO"/>
    <s v="S"/>
    <s v="APROBADO"/>
    <n v="6"/>
    <s v="PLATAFORMA GUBERNAMENTAL NORTE PISO 7 TORRE VERDE BODEGA DE INVENTARIOS"/>
    <n v="97459"/>
    <s v="PLATAFORMA GUBERNAMENTAL NORTE"/>
    <n v="1717662512"/>
    <s v="FLORES FLORES JOFFRE FABIAN"/>
    <s v="S"/>
    <s v="MATRIZ1"/>
    <s v="MATRIZ"/>
    <s v="No Aplica"/>
    <s v="No Aplica"/>
    <s v="No Aplica"/>
    <s v="S"/>
    <s v="EQUIPO ELECTRONICO/COMPUTADOR DE ESCRITORIO"/>
    <n v="840107"/>
    <x v="3"/>
    <s v="S"/>
    <d v="2022-11-09T17:04:05"/>
    <d v="2017-11-21T00:00:00"/>
    <d v="2020-11-19T00:00:00"/>
    <n v="3"/>
    <d v="2020-11-19T00:00:00"/>
    <n v="1163.68"/>
    <n v="116.37"/>
    <n v="116.37"/>
    <n v="1047.31"/>
    <s v="N"/>
  </r>
  <r>
    <n v="35650876"/>
    <s v="19971129"/>
    <s v="700100490001"/>
    <n v="425297"/>
    <s v="BLD"/>
    <s v="EQUIPO ELECTRONICO/PARLANTE"/>
    <s v="755426-0010"/>
    <s v="755426-0010"/>
    <s v="BOSE SOUNDLINK REVOLVE BLUTOOTH 360 GRADOS / ESTEREO"/>
    <s v="N"/>
    <m/>
    <n v="349.44"/>
    <s v="N"/>
    <s v="GRIS PLOMO Y NEGRO"/>
    <s v="ELECTRONICO"/>
    <s v="NO APLICA"/>
    <s v="BUENO"/>
    <s v="S"/>
    <s v="APROBADO"/>
    <n v="6"/>
    <s v="PLATAFORMA GUBERNAMENTAL NORTE PISO 7 TORRE VERDE BODEGA DE INVENTARIOS"/>
    <n v="97459"/>
    <s v="PLATAFORMA GUBERNAMENTAL NORTE"/>
    <n v="1719443135"/>
    <s v="CARRILLO CHUQUITARCO DIEGO FERNANDO"/>
    <s v="S"/>
    <s v="MATRIZ1"/>
    <s v="MATRIZ"/>
    <s v="No Aplica"/>
    <s v="No Aplica"/>
    <s v="No Aplica"/>
    <s v="S"/>
    <s v="EQUIPO ELECTRONICO/PARLANTE"/>
    <n v="840107"/>
    <x v="3"/>
    <s v="S"/>
    <d v="2022-11-09T17:04:05"/>
    <d v="2017-12-12T00:00:00"/>
    <d v="2020-12-10T00:00:00"/>
    <n v="3"/>
    <d v="2020-12-10T00:00:00"/>
    <n v="349.44"/>
    <n v="34.94"/>
    <n v="34.94"/>
    <n v="314.5"/>
    <s v="N"/>
  </r>
  <r>
    <n v="35650877"/>
    <s v="19971130"/>
    <s v="700100160001"/>
    <n v="425297"/>
    <s v="BLD"/>
    <s v="EQUIPO ELECTRONICO/DISCOS INFORMATICOS/DISCO DURO EXTERNO"/>
    <s v="NL 35DEKP"/>
    <s v="NL 35DEKP"/>
    <s v="LACIE RUGGED USB 3.0 / 2TB"/>
    <s v="N"/>
    <m/>
    <n v="403.2"/>
    <s v="N"/>
    <s v="METAL Y ANARANJADO"/>
    <s v="ELECTRONICO"/>
    <s v="NO APLICA"/>
    <s v="BUENO"/>
    <s v="S"/>
    <s v="APROBADO"/>
    <n v="6"/>
    <s v="PLATAFORMA GUBERNAMENTAL NORTE PISO 7 TORRE VERDE BODEGA DE INVENTARIOS"/>
    <n v="97459"/>
    <s v="PLATAFORMA GUBERNAMENTAL NORTE"/>
    <n v="1719443135"/>
    <s v="CARRILLO CHUQUITARCO DIEGO FERNANDO"/>
    <s v="S"/>
    <s v="MATRIZ1"/>
    <s v="MATRIZ"/>
    <s v="No Aplica"/>
    <s v="No Aplica"/>
    <s v="No Aplica"/>
    <s v="S"/>
    <s v="EQUIPO ELECTRONICO/DISCOS INFORMATICOS/DISCO DURO EXTERNO"/>
    <n v="840107"/>
    <x v="3"/>
    <s v="S"/>
    <d v="2022-11-09T17:04:05"/>
    <d v="2017-12-12T00:00:00"/>
    <d v="2020-12-10T00:00:00"/>
    <n v="3"/>
    <d v="2020-12-10T00:00:00"/>
    <n v="403.2"/>
    <n v="40.32"/>
    <n v="40.32"/>
    <n v="362.88"/>
    <s v="N"/>
  </r>
  <r>
    <n v="35650878"/>
    <s v="19971131"/>
    <s v="700100160001"/>
    <n v="425297"/>
    <s v="BLD"/>
    <s v="EQUIPO ELECTRONICO/DISCOS INFORMATICOS/DISCO DURO EXTERNO"/>
    <s v="NL35DB8E"/>
    <s v="NL35DB8E"/>
    <s v="LACIE RUGGED USB 3.0 / 2TB"/>
    <s v="N"/>
    <m/>
    <n v="403.2"/>
    <s v="N"/>
    <s v="METAL Y ANARANJADO"/>
    <s v="ELECTRONICO"/>
    <s v="NO APLICA"/>
    <s v="BUENO"/>
    <s v="S"/>
    <s v="APROBADO"/>
    <n v="6"/>
    <s v="PLATAFORMA GUBERNAMENTAL NORTE PISO 7 TORRE VERDE BODEGA DE INVENTARIOS"/>
    <n v="97459"/>
    <s v="PLATAFORMA GUBERNAMENTAL NORTE"/>
    <n v="1717662512"/>
    <s v="FLORES FLORES JOFFRE FABIAN"/>
    <s v="S"/>
    <s v="MATRIZ1"/>
    <s v="MATRIZ"/>
    <s v="No Aplica"/>
    <s v="No Aplica"/>
    <s v="No Aplica"/>
    <s v="S"/>
    <s v="EQUIPO ELECTRONICO/DISCOS INFORMATICOS/DISCO DURO EXTERNO"/>
    <n v="840107"/>
    <x v="3"/>
    <s v="S"/>
    <d v="2022-11-09T17:04:05"/>
    <d v="2017-12-12T00:00:00"/>
    <d v="2020-12-10T00:00:00"/>
    <n v="3"/>
    <d v="2020-12-10T00:00:00"/>
    <n v="403.2"/>
    <n v="40.32"/>
    <n v="40.32"/>
    <n v="362.88"/>
    <s v="N"/>
  </r>
  <r>
    <n v="35650879"/>
    <s v="20135086"/>
    <s v="700100060002"/>
    <n v="425297"/>
    <s v="BLD"/>
    <s v="EQUIPO ELECTRONICO/COMPUTADOR DE ESCRITORIO INTEGRADO"/>
    <s v="708NTDV70570"/>
    <s v="708NTDV70570"/>
    <s v="SPEEDMIND /MRAM 8GB 2 MODULOS"/>
    <s v="N"/>
    <m/>
    <n v="1178.24"/>
    <s v="N"/>
    <s v="NEGRO"/>
    <s v="ELECTRONICO"/>
    <s v="NO APLICA"/>
    <s v="BUENO"/>
    <s v="S"/>
    <s v="APROBADO"/>
    <n v="6"/>
    <s v="PLATAFORMA GUBERNAMENTAL NORTE PISO 7 TORRE VERDE BODEGA DE INVENTARIOS"/>
    <n v="97459"/>
    <s v="PLATAFORMA GUBERNAMENTAL NORTE"/>
    <n v="1716349814"/>
    <s v="RICAURTE MOSQUERA JOSHUA FELIPE"/>
    <s v="S"/>
    <s v="MATRIZ1"/>
    <s v="MATRIZ"/>
    <s v="No Aplica"/>
    <s v="No Aplica"/>
    <s v="No Aplica"/>
    <s v="S"/>
    <s v="EQUIPO ELECTRONICO/COMPUTADOR DE ESCRITORIO INTEGRADO"/>
    <n v="840107"/>
    <x v="3"/>
    <s v="S"/>
    <d v="2022-11-09T17:04:05"/>
    <d v="2017-12-14T00:00:00"/>
    <d v="2020-12-12T00:00:00"/>
    <n v="3"/>
    <d v="2020-12-12T00:00:00"/>
    <n v="1178.24"/>
    <n v="117.82"/>
    <n v="117.82"/>
    <n v="1060.42"/>
    <s v="N"/>
  </r>
  <r>
    <n v="35650939"/>
    <s v="25953620"/>
    <s v="700100060001"/>
    <n v="425297"/>
    <s v="BLD"/>
    <s v="EQUIPO ELECTRONICO/COMPUTADOR DE ESCRITORIO"/>
    <s v="AQPI71A002089"/>
    <s v="AQPI71A002089"/>
    <s v="INTEL CORE I7-7700"/>
    <s v="N"/>
    <m/>
    <n v="1140.04"/>
    <s v="N"/>
    <s v="NEGRO"/>
    <s v="ELECTRONICO"/>
    <s v="NO APLICA"/>
    <s v="BUENO"/>
    <s v="S"/>
    <s v="APROBADO"/>
    <n v="6"/>
    <s v="PLATAFORMA GUBERNAMENTAL NORTE PISO 7 TORRE VERDE BODEGA DE INVENTARIOS"/>
    <n v="97459"/>
    <s v="PLATAFORMA GUBERNAMENTAL NORTE"/>
    <n v="1717662512"/>
    <s v="FLORES FLORES JOFFRE FABIAN"/>
    <s v="S"/>
    <s v="MATRIZ1"/>
    <s v="MATRIZ"/>
    <s v="No Aplica"/>
    <s v="No Aplica"/>
    <s v="No Aplica"/>
    <s v="S"/>
    <s v="EQUIPO ELECTRONICO/COMPUTADOR DE ESCRITORIO"/>
    <n v="840107"/>
    <x v="3"/>
    <s v="S"/>
    <d v="2022-11-09T17:04:06"/>
    <d v="2018-11-26T00:00:00"/>
    <d v="2021-11-24T00:00:00"/>
    <n v="3"/>
    <d v="2021-11-24T00:00:00"/>
    <n v="1140.04"/>
    <n v="114"/>
    <n v="114"/>
    <n v="1026.04"/>
    <s v="N"/>
  </r>
  <r>
    <n v="35650940"/>
    <s v="25953621"/>
    <s v="700100060001"/>
    <n v="425297"/>
    <s v="BLD"/>
    <s v="EQUIPO ELECTRONICO/COMPUTADOR DE ESCRITORIO"/>
    <s v="AQPI71A002274"/>
    <s v="AQPI71A002274"/>
    <s v="INTEL CORE I7-7700"/>
    <s v="N"/>
    <m/>
    <n v="1140.05"/>
    <s v="N"/>
    <s v="NEGRO"/>
    <s v="ELECTRONICO"/>
    <s v="NO APLICA"/>
    <s v="BUENO"/>
    <s v="S"/>
    <s v="APROBADO"/>
    <n v="6"/>
    <s v="PLATAFORMA GUBERNAMENTAL NORTE PISO 7 TORRE VERDE BODEGA DE INVENTARIOS"/>
    <n v="97459"/>
    <s v="PLATAFORMA GUBERNAMENTAL NORTE"/>
    <n v="1717662512"/>
    <s v="FLORES FLORES JOFFRE FABIAN"/>
    <s v="S"/>
    <s v="MATRIZ1"/>
    <s v="MATRIZ"/>
    <s v="No Aplica"/>
    <s v="No Aplica"/>
    <s v="No Aplica"/>
    <s v="S"/>
    <s v="EQUIPO ELECTRONICO/COMPUTADOR DE ESCRITORIO"/>
    <n v="840107"/>
    <x v="3"/>
    <s v="S"/>
    <d v="2022-11-09T17:04:06"/>
    <d v="2018-11-26T00:00:00"/>
    <d v="2021-11-24T00:00:00"/>
    <n v="3"/>
    <d v="2021-11-24T00:00:00"/>
    <n v="1140.05"/>
    <n v="114.01"/>
    <n v="114.01"/>
    <n v="1026.04"/>
    <s v="N"/>
  </r>
  <r>
    <n v="35650941"/>
    <s v="25953622"/>
    <s v="700100060001"/>
    <n v="425297"/>
    <s v="BLD"/>
    <s v="EQUIPO ELECTRONICO/COMPUTADOR DE ESCRITORIO"/>
    <s v="AQPI71A002433"/>
    <s v="AQPI71A002433"/>
    <s v="INTEL CORE I7-7700"/>
    <s v="N"/>
    <m/>
    <n v="1140.05"/>
    <s v="N"/>
    <s v="NEGRO"/>
    <s v="ELECTRONICO"/>
    <s v="NO APLICA"/>
    <s v="BUENO"/>
    <s v="S"/>
    <s v="APROBADO"/>
    <n v="6"/>
    <s v="PLATAFORMA GUBERNAMENTAL NORTE PISO 7 TORRE VERDE BODEGA DE INVENTARIOS"/>
    <n v="97459"/>
    <s v="PLATAFORMA GUBERNAMENTAL NORTE"/>
    <n v="1710914985"/>
    <s v="SILVA TOLEDO RICARDO WLADIMIR"/>
    <s v="S"/>
    <s v="MATRIZ1"/>
    <s v="MATRIZ"/>
    <s v="No Aplica"/>
    <s v="No Aplica"/>
    <s v="No Aplica"/>
    <s v="S"/>
    <s v="EQUIPO ELECTRONICO/COMPUTADOR DE ESCRITORIO"/>
    <n v="840107"/>
    <x v="3"/>
    <s v="S"/>
    <d v="2022-11-09T17:04:06"/>
    <d v="2018-11-26T00:00:00"/>
    <d v="2021-11-24T00:00:00"/>
    <n v="3"/>
    <d v="2021-11-24T00:00:00"/>
    <n v="1140.05"/>
    <n v="114.01"/>
    <n v="114.01"/>
    <n v="1026.04"/>
    <s v="N"/>
  </r>
  <r>
    <n v="35650942"/>
    <s v="25953623"/>
    <s v="700100060001"/>
    <n v="425297"/>
    <s v="BLD"/>
    <s v="EQUIPO ELECTRONICO/COMPUTADOR DE ESCRITORIO"/>
    <s v="AQPI71A002450"/>
    <s v="AQPI71A002450"/>
    <s v="INTEL CORE I7-7700"/>
    <s v="N"/>
    <m/>
    <n v="1140.05"/>
    <s v="N"/>
    <s v="NEGRO"/>
    <s v="ELECTRONICO"/>
    <s v="NO APLICA"/>
    <s v="BUENO"/>
    <s v="S"/>
    <s v="APROBADO"/>
    <n v="6"/>
    <s v="PLATAFORMA GUBERNAMENTAL NORTE PISO 7 TORRE VERDE BODEGA DE INVENTARIOS"/>
    <n v="97459"/>
    <s v="PLATAFORMA GUBERNAMENTAL NORTE"/>
    <n v="1717662512"/>
    <s v="FLORES FLORES JOFFRE FABIAN"/>
    <s v="S"/>
    <s v="MATRIZ1"/>
    <s v="MATRIZ"/>
    <s v="No Aplica"/>
    <s v="No Aplica"/>
    <s v="No Aplica"/>
    <s v="S"/>
    <s v="EQUIPO ELECTRONICO/COMPUTADOR DE ESCRITORIO"/>
    <n v="840107"/>
    <x v="3"/>
    <s v="S"/>
    <d v="2022-11-09T17:04:06"/>
    <d v="2018-11-26T00:00:00"/>
    <d v="2021-11-24T00:00:00"/>
    <n v="3"/>
    <d v="2021-11-24T00:00:00"/>
    <n v="1140.05"/>
    <n v="114.01"/>
    <n v="114.01"/>
    <n v="1026.04"/>
    <s v="N"/>
  </r>
  <r>
    <n v="35650943"/>
    <s v="25953624"/>
    <s v="700100060001"/>
    <n v="425297"/>
    <s v="BLD"/>
    <s v="EQUIPO ELECTRONICO/COMPUTADOR DE ESCRITORIO"/>
    <s v="AQPI71A009066"/>
    <s v="AQPI71A009066"/>
    <s v="INTEL CORE I7-7700"/>
    <s v="N"/>
    <m/>
    <n v="1140.05"/>
    <s v="N"/>
    <s v="NEGRO"/>
    <s v="ELECTRONICO"/>
    <s v="NO APLICA"/>
    <s v="BUENO"/>
    <s v="S"/>
    <s v="APROBADO"/>
    <n v="6"/>
    <s v="PLATAFORMA GUBERNAMENTAL NORTE PISO 7 TORRE VERDE BODEGA DE INVENTARIOS"/>
    <n v="97459"/>
    <s v="PLATAFORMA GUBERNAMENTAL NORTE"/>
    <n v="401265012"/>
    <s v="GUERRA ASLALEMA DARWIN BAYARDO"/>
    <s v="S"/>
    <s v="MATRIZ1"/>
    <s v="MATRIZ"/>
    <s v="No Aplica"/>
    <s v="No Aplica"/>
    <s v="No Aplica"/>
    <s v="S"/>
    <s v="EQUIPO ELECTRONICO/COMPUTADOR DE ESCRITORIO"/>
    <n v="840107"/>
    <x v="3"/>
    <s v="S"/>
    <d v="2022-11-09T17:04:06"/>
    <d v="2018-11-26T00:00:00"/>
    <d v="2021-11-24T00:00:00"/>
    <n v="3"/>
    <d v="2021-11-24T00:00:00"/>
    <n v="1140.05"/>
    <n v="114.01"/>
    <n v="114.01"/>
    <n v="1026.04"/>
    <s v="N"/>
  </r>
  <r>
    <n v="35650946"/>
    <s v="25977610"/>
    <s v="700100660001"/>
    <n v="425297"/>
    <s v="BLD"/>
    <s v="EQUIPO ELECTRONICO/SWITCH"/>
    <s v="CN70K3P60V"/>
    <s v="CN70K3P60V"/>
    <s v="4 RANURAS SFP 100/1000 MBPS (IEEE 802.3U TYPE 100BASE-FX. IEEE 802.3Z TYPE 1000BASE-X"/>
    <s v="N"/>
    <m/>
    <n v="1064"/>
    <s v="N"/>
    <s v="NEGRO Y PLOMO"/>
    <s v="ELECTRONICO"/>
    <s v="NO APLICA"/>
    <s v="BUENO"/>
    <s v="S"/>
    <s v="APROBADO"/>
    <n v="6"/>
    <s v="PLATAFORMA GUBERNAMENTAL NORTE PISO 7 TORRE VERDE BODEGA DE INVENTARIOS"/>
    <n v="97459"/>
    <s v="PLATAFORMA GUBERNAMENTAL NORTE"/>
    <n v="1717662512"/>
    <s v="FLORES FLORES JOFFRE FABIAN"/>
    <s v="S"/>
    <s v="MATRIZ1"/>
    <s v="MATRIZ"/>
    <s v="No Aplica"/>
    <s v="No Aplica"/>
    <s v="No Aplica"/>
    <s v="S"/>
    <s v="EQUIPO ELECTRONICO/SWITCH"/>
    <n v="840107"/>
    <x v="3"/>
    <s v="S"/>
    <d v="2022-11-09T17:04:06"/>
    <d v="2018-11-30T00:00:00"/>
    <d v="2021-11-28T00:00:00"/>
    <n v="3"/>
    <d v="2021-11-28T00:00:00"/>
    <n v="1064"/>
    <n v="106.4"/>
    <n v="106.4"/>
    <n v="957.6"/>
    <s v="N"/>
  </r>
  <r>
    <n v="35650947"/>
    <s v="25977611"/>
    <s v="700100660001"/>
    <n v="425297"/>
    <s v="BLD"/>
    <s v="EQUIPO ELECTRONICO/SWITCH"/>
    <s v="246000001794A"/>
    <s v="246000001794A"/>
    <s v="4 RANURAS SFP 100/1000 MBPS (IEEE 802.3U TYPE 100BASE-FX. IEEE 802.3Z TYPE 1000BASE-X"/>
    <s v="N"/>
    <m/>
    <n v="1064"/>
    <s v="N"/>
    <s v="NEGRO Y PLOMO"/>
    <s v="ELECTRONICO"/>
    <s v="NO APLICA"/>
    <s v="BUENO"/>
    <s v="S"/>
    <s v="APROBADO"/>
    <n v="6"/>
    <s v="PLATAFORMA GUBERNAMENTAL NORTE PISO 7 TORRE VERDE BODEGA DE INVENTARIOS"/>
    <n v="97459"/>
    <s v="PLATAFORMA GUBERNAMENTAL NORTE"/>
    <n v="401265012"/>
    <s v="GUERRA ASLALEMA DARWIN BAYARDO"/>
    <s v="S"/>
    <s v="MATRIZ1"/>
    <s v="MATRIZ"/>
    <s v="No Aplica"/>
    <s v="No Aplica"/>
    <s v="No Aplica"/>
    <s v="S"/>
    <s v="EQUIPO ELECTRONICO/SWITCH"/>
    <n v="840107"/>
    <x v="3"/>
    <s v="S"/>
    <d v="2022-11-09T17:04:06"/>
    <d v="2018-11-30T00:00:00"/>
    <d v="2021-11-28T00:00:00"/>
    <n v="3"/>
    <d v="2021-11-28T00:00:00"/>
    <n v="1064"/>
    <n v="106.4"/>
    <n v="106.4"/>
    <n v="957.6"/>
    <s v="N"/>
  </r>
  <r>
    <n v="35650948"/>
    <s v="25977612"/>
    <s v="700101010001"/>
    <n v="425297"/>
    <s v="BLD"/>
    <s v="EQUIPO ELECTRONICO/UNIDAD DE ALMACENAMIENTO"/>
    <s v="WX11077K79J9"/>
    <s v="WX11077K79J9"/>
    <s v="MY CLOUD HOME /6 TB (2 DISCOS DE 3 TB. CAPACIDAD UTILIZABLE DE 2.95 TB)"/>
    <s v="N"/>
    <m/>
    <n v="403.2"/>
    <s v="N"/>
    <s v="BLANCO Y GRIS"/>
    <s v="ELECTRONICO"/>
    <s v="NO APLICA"/>
    <s v="BUENO"/>
    <s v="S"/>
    <s v="APROBADO"/>
    <n v="6"/>
    <s v="PLATAFORMA GUBERNAMENTAL NORTE PISO 7 TORRE VERDE BODEGA DE INVENTARIOS"/>
    <n v="97459"/>
    <s v="PLATAFORMA GUBERNAMENTAL NORTE"/>
    <n v="401265012"/>
    <s v="GUERRA ASLALEMA DARWIN BAYARDO"/>
    <s v="S"/>
    <s v="MATRIZ1"/>
    <s v="MATRIZ"/>
    <s v="No Aplica"/>
    <s v="No Aplica"/>
    <s v="No Aplica"/>
    <s v="S"/>
    <s v="EQUIPO ELECTRONICO/UNIDAD DE ALMACENAMIENTO"/>
    <n v="840107"/>
    <x v="3"/>
    <s v="S"/>
    <d v="2022-11-09T17:04:06"/>
    <d v="2018-11-30T00:00:00"/>
    <d v="2021-11-28T00:00:00"/>
    <n v="3"/>
    <d v="2021-11-28T00:00:00"/>
    <n v="403.2"/>
    <n v="40.32"/>
    <n v="40.32"/>
    <n v="362.88"/>
    <s v="N"/>
  </r>
  <r>
    <n v="35650949"/>
    <s v="30473757"/>
    <s v="700100070001"/>
    <n v="425297"/>
    <s v="BLD"/>
    <s v="EQUIPO ELECTRONICO/COMPUTADORA PORTATIL"/>
    <s v="5CD9430WN8"/>
    <s v="5CD9430WN8"/>
    <s v="HP / PROCESADOR INTEL CORE I7-8565U / COLOR PLOMO"/>
    <s v="N"/>
    <m/>
    <n v="1423.52"/>
    <s v="N"/>
    <s v="PLOMO"/>
    <s v="ELECTRONICO"/>
    <s v="NO APLICA"/>
    <s v="BUENO"/>
    <s v="S"/>
    <s v="APROBADO"/>
    <n v="6"/>
    <s v="PLATAFORMA GUBERNAMENTAL NORTE PISO 7 TORRE VERDE BODEGA DE INVENTARIOS"/>
    <n v="97459"/>
    <s v="PLATAFORMA GUBERNAMENTAL NORTE"/>
    <n v="1003429584"/>
    <s v="ALVAREZ COBA ELVA TATIANA"/>
    <s v="S"/>
    <s v="MATRIZ1"/>
    <s v="MATRIZ"/>
    <s v="No Aplica"/>
    <s v="No Aplica"/>
    <s v="No Aplica"/>
    <s v="S"/>
    <s v="EQUIPO ELECTRONICO/COMPUTADORA PORTATIL"/>
    <n v="840107"/>
    <x v="3"/>
    <s v="N"/>
    <d v="2022-11-09T17:04:06"/>
    <d v="2019-11-27T00:00:00"/>
    <d v="2022-11-25T00:00:00"/>
    <n v="3"/>
    <d v="2022-11-25T00:00:00"/>
    <n v="1423.52"/>
    <n v="142.35"/>
    <n v="142.35"/>
    <n v="1281.17"/>
    <s v="N"/>
  </r>
  <r>
    <n v="35650950"/>
    <s v="30473758"/>
    <s v="700100070001"/>
    <n v="425297"/>
    <s v="BLD"/>
    <s v="EQUIPO ELECTRONICO/COMPUTADORA PORTATIL"/>
    <s v="5CD9437JBS"/>
    <s v="5CD9437JBS"/>
    <s v="HP / PROCESADOR INTEL CORE I7-8565U / COLOR PLOMO"/>
    <s v="N"/>
    <m/>
    <n v="1423.52"/>
    <s v="N"/>
    <s v="PLOMO |"/>
    <s v="ELECTRONICO"/>
    <s v="NO APLICA"/>
    <s v="BUENO"/>
    <s v="S"/>
    <s v="APROBADO"/>
    <n v="6"/>
    <s v="PLATAFORMA GUBERNAMENTAL NORTE PISO 7 TORRE VERDE BODEGA DE INVENTARIOS"/>
    <n v="97459"/>
    <s v="PLATAFORMA GUBERNAMENTAL NORTE"/>
    <n v="1719443135"/>
    <s v="CARRILLO CHUQUITARCO DIEGO FERNANDO"/>
    <s v="S"/>
    <s v="MATRIZ1"/>
    <s v="MATRIZ"/>
    <s v="No Aplica"/>
    <s v="No Aplica"/>
    <s v="No Aplica"/>
    <s v="S"/>
    <s v="EQUIPO ELECTRONICO/COMPUTADORA PORTATIL"/>
    <n v="840107"/>
    <x v="3"/>
    <s v="N"/>
    <d v="2022-11-09T17:04:06"/>
    <d v="2019-11-27T00:00:00"/>
    <d v="2022-11-25T00:00:00"/>
    <n v="3"/>
    <d v="2022-11-25T00:00:00"/>
    <n v="1423.52"/>
    <n v="142.35"/>
    <n v="142.35"/>
    <n v="1281.17"/>
    <s v="N"/>
  </r>
  <r>
    <n v="35650951"/>
    <s v="30473759"/>
    <s v="700100070001"/>
    <n v="425297"/>
    <s v="BLD"/>
    <s v="EQUIPO ELECTRONICO/COMPUTADORA PORTATIL"/>
    <s v="5CD9437JBP"/>
    <s v="5CD9437JBP"/>
    <s v="HP / PROCESADOR INTEL CORE I7-8565U / COLOR PLOMO"/>
    <s v="N"/>
    <m/>
    <n v="1423.52"/>
    <s v="N"/>
    <s v="PLOMO"/>
    <s v="ELECTRONICO"/>
    <s v="NO APLICA"/>
    <s v="BUENO"/>
    <s v="S"/>
    <s v="APROBADO"/>
    <n v="6"/>
    <s v="PLATAFORMA GUBERNAMENTAL NORTE PISO 7 TORRE VERDE BODEGA DE INVENTARIOS"/>
    <n v="97459"/>
    <s v="PLATAFORMA GUBERNAMENTAL NORTE"/>
    <n v="1717662512"/>
    <s v="FLORES FLORES JOFFRE FABIAN"/>
    <s v="S"/>
    <s v="MATRIZ1"/>
    <s v="MATRIZ"/>
    <s v="No Aplica"/>
    <s v="No Aplica"/>
    <s v="No Aplica"/>
    <s v="S"/>
    <s v="EQUIPO ELECTRONICO/COMPUTADORA PORTATIL"/>
    <n v="840107"/>
    <x v="3"/>
    <s v="N"/>
    <d v="2022-11-09T17:04:06"/>
    <d v="2019-11-27T00:00:00"/>
    <d v="2022-11-25T00:00:00"/>
    <n v="3"/>
    <d v="2022-11-25T00:00:00"/>
    <n v="1423.52"/>
    <n v="142.35"/>
    <n v="142.35"/>
    <n v="1281.17"/>
    <s v="N"/>
  </r>
  <r>
    <n v="35650953"/>
    <s v="30473761"/>
    <s v="700100070001"/>
    <n v="425297"/>
    <s v="BLD"/>
    <s v="EQUIPO ELECTRONICO/COMPUTADORA PORTATIL"/>
    <s v="5CD9437JC1"/>
    <s v="5CD9437JC1"/>
    <s v="HP / PROCESADOR INTEL CORE I7-8565U / COLOR PLOMO"/>
    <s v="N"/>
    <m/>
    <n v="1423.52"/>
    <s v="N"/>
    <s v="PLOMO"/>
    <s v="ELECTRONICO"/>
    <s v="NO APLICA"/>
    <s v="BUENO"/>
    <s v="S"/>
    <s v="APROBADO"/>
    <n v="6"/>
    <s v="PLATAFORMA GUBERNAMENTAL NORTE PISO 7 TORRE VERDE BODEGA DE INVENTARIOS"/>
    <n v="97459"/>
    <s v="PLATAFORMA GUBERNAMENTAL NORTE"/>
    <n v="1709796500"/>
    <s v="GARCES TIPAN TANSHA DEL PILAR"/>
    <s v="S"/>
    <s v="MATRIZ1"/>
    <s v="MATRIZ"/>
    <s v="No Aplica"/>
    <s v="No Aplica"/>
    <s v="No Aplica"/>
    <s v="S"/>
    <s v="EQUIPO ELECTRONICO/COMPUTADORA PORTATIL"/>
    <n v="840107"/>
    <x v="3"/>
    <s v="N"/>
    <d v="2022-11-09T17:04:06"/>
    <d v="2019-11-27T00:00:00"/>
    <d v="2022-11-25T00:00:00"/>
    <n v="3"/>
    <d v="2022-11-25T00:00:00"/>
    <n v="1423.52"/>
    <n v="142.35"/>
    <n v="142.35"/>
    <n v="1281.17"/>
    <s v="N"/>
  </r>
  <r>
    <n v="35650954"/>
    <s v="30473762"/>
    <s v="700100070001"/>
    <n v="425297"/>
    <s v="BLD"/>
    <s v="EQUIPO ELECTRONICO/COMPUTADORA PORTATIL"/>
    <s v="5CD9437JB2"/>
    <s v="5CD9437JB2"/>
    <s v="HP / PROCESADOR INTEL CORE I7-8565U / COLOR PLOMO"/>
    <s v="N"/>
    <m/>
    <n v="1423.52"/>
    <s v="N"/>
    <s v="PLOMO"/>
    <s v="ELECTRONICO"/>
    <s v="NO APLICA"/>
    <s v="BUENO"/>
    <s v="S"/>
    <s v="APROBADO"/>
    <n v="6"/>
    <s v="PLATAFORMA GUBERNAMENTAL NORTE PISO 7 TORRE VERDE BODEGA DE INVENTARIOS"/>
    <n v="97459"/>
    <s v="PLATAFORMA GUBERNAMENTAL NORTE"/>
    <n v="102936168"/>
    <s v="DUTAN TAMAYO HUGO ERNESTO"/>
    <s v="S"/>
    <s v="MATRIZ1"/>
    <s v="MATRIZ"/>
    <s v="No Aplica"/>
    <s v="No Aplica"/>
    <s v="No Aplica"/>
    <s v="S"/>
    <s v="EQUIPO ELECTRONICO/COMPUTADORA PORTATIL"/>
    <n v="840107"/>
    <x v="3"/>
    <s v="N"/>
    <d v="2022-11-09T17:04:06"/>
    <d v="2019-11-27T00:00:00"/>
    <d v="2022-11-25T00:00:00"/>
    <n v="3"/>
    <d v="2022-11-25T00:00:00"/>
    <n v="1423.52"/>
    <n v="142.35"/>
    <n v="142.35"/>
    <n v="1281.17"/>
    <s v="N"/>
  </r>
  <r>
    <n v="35650955"/>
    <s v="30473763"/>
    <s v="700100070001"/>
    <n v="425297"/>
    <s v="BLD"/>
    <s v="EQUIPO ELECTRONICO/COMPUTADORA PORTATIL"/>
    <s v="X2SR003766"/>
    <s v="X2SR003766"/>
    <s v="FALSO"/>
    <s v="N"/>
    <m/>
    <n v="2356.48"/>
    <s v="N"/>
    <s v="PLOMO"/>
    <s v="ELECTRONICO"/>
    <s v="NO APLICA"/>
    <s v="BUENO"/>
    <s v="S"/>
    <s v="APROBADO"/>
    <n v="6"/>
    <s v="PLATAFORMA GUBERNAMENTAL NORTE PISO 7 TORRE VERDE BODEGA DE INVENTARIOS"/>
    <n v="97459"/>
    <s v="PLATAFORMA GUBERNAMENTAL NORTE"/>
    <n v="401265012"/>
    <s v="GUERRA ASLALEMA DARWIN BAYARDO"/>
    <s v="S"/>
    <s v="MATRIZ1"/>
    <s v="MATRIZ"/>
    <s v="No Aplica"/>
    <s v="No Aplica"/>
    <s v="No Aplica"/>
    <s v="S"/>
    <s v="EQUIPO ELECTRONICO/IMPRESORAS/IMPRESORA MULTIFUNCIONES"/>
    <n v="840107"/>
    <x v="3"/>
    <s v="N"/>
    <d v="2022-11-09T17:04:06"/>
    <d v="2019-11-27T00:00:00"/>
    <d v="2022-11-25T00:00:00"/>
    <n v="3"/>
    <d v="2022-11-25T00:00:00"/>
    <n v="2356.48"/>
    <n v="235.65"/>
    <n v="235.65"/>
    <n v="2120.83"/>
    <s v="N"/>
  </r>
  <r>
    <n v="37544489"/>
    <s v=""/>
    <s v="700100070001"/>
    <n v="3"/>
    <s v="BLD"/>
    <s v="EQUIPO ELECTRONICO/COMPUTADORA PORTATIL"/>
    <s v="37544489"/>
    <s v=""/>
    <s v=""/>
    <m/>
    <m/>
    <n v="874"/>
    <m/>
    <s v="NEGRO"/>
    <s v="MAGNESIO"/>
    <s v="359 x 250 x 17,6 mm // 1.42 kg"/>
    <s v="BUENO"/>
    <s v="S"/>
    <s v="APROBADO"/>
    <n v="6"/>
    <s v="PLATAFORMA GUBERNAMENTAL NORTE PISO 7 TORRE VERDE BODEGA DE INVENTARIOS"/>
    <n v="97459"/>
    <s v="PLATAFORMA GUBERNAMENTAL NORTE"/>
    <n v="1717662512"/>
    <s v="FLORES FLORES JOFFRE FABIAN"/>
    <s v="S"/>
    <s v="COMPRA"/>
    <s v="ACTA"/>
    <n v="507"/>
    <s v="LEGALIZADO"/>
    <s v="S"/>
    <s v="S"/>
    <s v="COMPRA DE 4 COMPUTADORES PORTATILES PROCESADOR I71255USSD 1TBM.2 MEMORIA RAM 16GB PANTALLA 15.6 LICENCIA WINDOWS 11 PRO INCLUYE MOCHILA MOUSE Y ADAPTADOR HDMI A VGA."/>
    <n v="840107"/>
    <x v="3"/>
    <s v="S"/>
    <d v="2023-09-07T00:00:00"/>
    <d v="2023-11-14T00:00:00"/>
    <d v="2026-02-28T00:00:00"/>
    <n v="3"/>
    <d v="2026-11-12T00:00:00"/>
    <n v="874"/>
    <n v="87.4"/>
    <n v="272.02"/>
    <n v="601.98"/>
    <s v="N"/>
  </r>
  <r>
    <n v="37544490"/>
    <s v=""/>
    <s v="700100070001"/>
    <n v="3"/>
    <s v="BLD"/>
    <s v="EQUIPO ELECTRONICO/COMPUTADORA PORTATIL"/>
    <s v="37544490"/>
    <s v=""/>
    <s v=""/>
    <m/>
    <m/>
    <n v="874"/>
    <m/>
    <s v="NEGRO"/>
    <s v="MAGNESIO"/>
    <s v="359 x 250 x 17,6 mm // 1.42 kg"/>
    <s v="BUENO"/>
    <s v="S"/>
    <s v="APROBADO"/>
    <n v="6"/>
    <s v="PLATAFORMA GUBERNAMENTAL NORTE PISO 7 TORRE VERDE BODEGA DE INVENTARIOS"/>
    <n v="97459"/>
    <s v="PLATAFORMA GUBERNAMENTAL NORTE"/>
    <n v="1717662512"/>
    <s v="FLORES FLORES JOFFRE FABIAN"/>
    <s v="S"/>
    <s v="COMPRA"/>
    <s v="ACTA"/>
    <n v="507"/>
    <s v="LEGALIZADO"/>
    <s v="S"/>
    <s v="S"/>
    <s v="COMPRA DE 4 COMPUTADORES PORTATILES PROCESADOR I71255USSD 1TBM.2 MEMORIA RAM 16GB PANTALLA 15.6 LICENCIA WINDOWS 11 PRO INCLUYE MOCHILA MOUSE Y ADAPTADOR HDMI A VGA."/>
    <n v="840107"/>
    <x v="3"/>
    <s v="S"/>
    <d v="2023-09-07T00:00:00"/>
    <d v="2023-11-14T00:00:00"/>
    <d v="2026-02-28T00:00:00"/>
    <n v="3"/>
    <d v="2026-11-12T00:00:00"/>
    <n v="874"/>
    <n v="87.4"/>
    <n v="272.02"/>
    <n v="601.98"/>
    <s v="N"/>
  </r>
  <r>
    <n v="37544491"/>
    <s v=""/>
    <s v="700100070001"/>
    <n v="3"/>
    <s v="BLD"/>
    <s v="EQUIPO ELECTRONICO/COMPUTADORA PORTATIL"/>
    <s v="37544491"/>
    <s v=""/>
    <s v=""/>
    <m/>
    <m/>
    <n v="874"/>
    <m/>
    <s v="NEGRO"/>
    <s v="MAGNESIO"/>
    <s v="359 x 250 x 17,6 mm // 1.42 kg"/>
    <s v="BUENO"/>
    <s v="S"/>
    <s v="APROBADO"/>
    <n v="6"/>
    <s v="PLATAFORMA GUBERNAMENTAL NORTE PISO 7 TORRE VERDE BODEGA DE INVENTARIOS"/>
    <n v="97459"/>
    <s v="PLATAFORMA GUBERNAMENTAL NORTE"/>
    <n v="1725514309"/>
    <s v="HURTADO JACOME GISSELA VIVIANA"/>
    <s v="S"/>
    <s v="COMPRA"/>
    <s v="ACTA"/>
    <n v="507"/>
    <s v="LEGALIZADO"/>
    <s v="S"/>
    <s v="S"/>
    <s v="COMPRA DE 4 COMPUTADORES PORTATILES PROCESADOR I71255USSD 1TBM.2 MEMORIA RAM 16GB PANTALLA 15.6 LICENCIA WINDOWS 11 PRO INCLUYE MOCHILA MOUSE Y ADAPTADOR HDMI A VGA."/>
    <n v="840107"/>
    <x v="3"/>
    <s v="S"/>
    <d v="2023-09-07T00:00:00"/>
    <d v="2023-11-14T00:00:00"/>
    <d v="2026-02-28T00:00:00"/>
    <n v="3"/>
    <d v="2026-11-12T00:00:00"/>
    <n v="874"/>
    <n v="87.4"/>
    <n v="272.02"/>
    <n v="601.98"/>
    <s v="N"/>
  </r>
  <r>
    <n v="38194951"/>
    <s v=""/>
    <s v="700100070001"/>
    <n v="4"/>
    <s v="BLD"/>
    <s v="EQUIPO ELECTRONICO/COMPUTADORA PORTATIL"/>
    <s v="38194951"/>
    <s v="PROBOOK 440 G10"/>
    <s v="HP"/>
    <s v="N"/>
    <m/>
    <n v="1229"/>
    <s v="N"/>
    <s v="PLOMO"/>
    <s v="PLASTICO/METAL"/>
    <s v="32.5 X 23 CM"/>
    <s v="BUENO"/>
    <s v="S"/>
    <s v="APROBADO"/>
    <n v="6"/>
    <s v="PLATAFORMA GUBERNAMENTAL NORTE PISO 7 TORRE VERDE BODEGA DE INVENTARIOS"/>
    <n v="97459"/>
    <s v="PLATAFORMA GUBERNAMENTAL NORTE"/>
    <n v="1726517327"/>
    <s v="VILLAVICENCIO SALAZAR NICOLAS GABRIEL"/>
    <s v="S"/>
    <s v="REPOSICION"/>
    <s v="ACTA"/>
    <s v="No Aplica"/>
    <s v="LEGALIZADO"/>
    <s v="S"/>
    <s v="S"/>
    <s v="ASEGURADORA DEL SUR. REPOSICIÓN COMPUTADORA PORTÁTIL HP PROBOOK 440 G10 I7 1355U RAM 16GB SSD 1TB PANTALLA 14&quot; SN: 5CD344724H POR SINIESTRO DE DAÑO CASO 46896 FECHA SINIESTRO 18DIC23 PÓLIZA 1168649 ACTA ENTREGA RECEPCIÓN 30012024 LUSANCOM"/>
    <n v="0"/>
    <x v="3"/>
    <s v="S"/>
    <d v="2024-02-01T00:00:00"/>
    <d v="2024-02-01T00:00:00"/>
    <d v="2026-02-28T00:00:00"/>
    <n v="3"/>
    <d v="2027-01-30T00:00:00"/>
    <n v="1229"/>
    <n v="122.9"/>
    <n v="462.39"/>
    <n v="766.61"/>
    <s v="N"/>
  </r>
  <r>
    <n v="38194252"/>
    <s v=""/>
    <s v="700100070001"/>
    <n v="1"/>
    <s v="BLD"/>
    <s v="EQUIPO ELECTRONICO/COMPUTADORA PORTATIL"/>
    <s v="38194252"/>
    <s v="=&quot;DYNABOOK SATELLITE C50-K I7-1255U SSD 1TB 16 GB 15.6&quot; LICENCIA WINDOWS 10 PRO/ SN: X3023874E&quot;"/>
    <s v="TOSHIBA"/>
    <s v="N"/>
    <m/>
    <n v="874"/>
    <s v="N"/>
    <s v="NEGRO"/>
    <s v="PLASTICO/METAL"/>
    <s v="35.5X23 CM"/>
    <s v="BUENO"/>
    <s v="S"/>
    <s v="APROBADO"/>
    <n v="6"/>
    <s v="PLATAFORMA GUBERNAMENTAL NORTE PISO 7 TORRE VERDE BODEGA DE INVENTARIOS"/>
    <n v="97459"/>
    <s v="PLATAFORMA GUBERNAMENTAL NORTE"/>
    <n v="1717662512"/>
    <s v="FLORES FLORES JOFFRE FABIAN"/>
    <s v="S"/>
    <s v="REPOSICION"/>
    <s v="ACTA"/>
    <s v="No Aplica"/>
    <s v="LEGALIZADO"/>
    <s v="S"/>
    <s v="S"/>
    <s v="ASEGURADORA DEL SUR. REPOSICION DYNABOOK SATELLITE PRO C50K 17 COMPUTADORA PORTATIL POR SINIESTRO DE HURTO CASO 43063 FECHA DE SINIESTRO 25092023 POLIZA 1168649 LIQUIDACION 207754 ACTA ENTREGA RECEPCIÓN 29012024 PROVEEDOR REPRES MUNDIAL"/>
    <n v="0"/>
    <x v="3"/>
    <s v="S"/>
    <d v="2024-01-29T00:00:00"/>
    <d v="2024-01-29T00:00:00"/>
    <d v="2026-02-28T00:00:00"/>
    <n v="3"/>
    <d v="2027-01-27T00:00:00"/>
    <n v="874"/>
    <n v="87.4"/>
    <n v="326.61"/>
    <n v="547.39"/>
    <s v="N"/>
  </r>
  <r>
    <n v="38795816"/>
    <s v=""/>
    <s v="700100070001"/>
    <n v="7"/>
    <s v="BLD"/>
    <s v="EQUIPO ELECTRONICO/COMPUTADORA PORTATIL"/>
    <s v="38795816"/>
    <s v=""/>
    <s v=""/>
    <m/>
    <m/>
    <n v="1340"/>
    <m/>
    <s v="GRIS"/>
    <s v="METAL Y PLASTICO"/>
    <s v="15 PULGADAS"/>
    <s v="BUENO"/>
    <s v="S"/>
    <s v="APROBADO"/>
    <n v="6"/>
    <s v="PLATAFORMA GUBERNAMENTAL NORTE PISO 7 TORRE VERDE BODEGA DE INVENTARIOS"/>
    <n v="97459"/>
    <s v="PLATAFORMA GUBERNAMENTAL NORTE"/>
    <n v="1723600886"/>
    <s v="ORTEGA QUINTE SHIRLEY NICOLE"/>
    <s v="S"/>
    <s v="DONACION"/>
    <s v="ACTA"/>
    <s v="No Aplica"/>
    <s v="LEGALIZADO"/>
    <s v="S"/>
    <s v="S"/>
    <s v="DONACIÓN DE COMPUTADORAS PORTÁTILES POR PARTE DE GIZ ACTA SUSCRITA DE 22 DE DICIEMBRE DE 2023 Y RECEPCIÓN MEDIANTE CORREO ELECTRÓNICO DE FACTURA NRO 001011000011495 FECHA 17 NOV 21 Y 000012026 FECHA 5 ABRIL 22"/>
    <n v="0"/>
    <x v="3"/>
    <s v="S"/>
    <d v="2024-07-17T00:00:00"/>
    <d v="2024-07-17T00:00:00"/>
    <d v="2026-02-28T00:00:00"/>
    <n v="3"/>
    <d v="2027-07-16T00:00:00"/>
    <n v="1340"/>
    <n v="134"/>
    <n v="688.01"/>
    <n v="651.99"/>
    <s v="N"/>
  </r>
  <r>
    <n v="38795817"/>
    <s v=""/>
    <s v="700100070001"/>
    <n v="7"/>
    <s v="BLD"/>
    <s v="EQUIPO ELECTRONICO/COMPUTADORA PORTATIL"/>
    <s v="38795817"/>
    <s v=""/>
    <s v=""/>
    <m/>
    <m/>
    <n v="1415"/>
    <m/>
    <s v="NEGRO"/>
    <s v="METAL Y PLASTICO"/>
    <s v="15 PULGADAS"/>
    <s v="BUENO"/>
    <s v="S"/>
    <s v="APROBADO"/>
    <n v="6"/>
    <s v="PLATAFORMA GUBERNAMENTAL NORTE PISO 7 TORRE VERDE BODEGA DE INVENTARIOS"/>
    <n v="97459"/>
    <s v="PLATAFORMA GUBERNAMENTAL NORTE"/>
    <n v="1717662512"/>
    <s v="FLORES FLORES JOFFRE FABIAN"/>
    <s v="S"/>
    <s v="DONACION"/>
    <s v="ACTA"/>
    <s v="No Aplica"/>
    <s v="LEGALIZADO"/>
    <s v="S"/>
    <s v="S"/>
    <s v="DONACIÓN DE COMPUTADORAS PORTÁTILES POR PARTE DE GIZ ACTA SUSCRITA DE 22 DE DICIEMBRE DE 2023 Y RECEPCIÓN MEDIANTE CORREO ELECTRÓNICO DE FACTURA NRO 001011000011495 FECHA 17 NOV 21 Y 000012026 FECHA 5 ABRIL 22"/>
    <n v="0"/>
    <x v="3"/>
    <s v="S"/>
    <d v="2024-07-17T00:00:00"/>
    <d v="2024-07-17T00:00:00"/>
    <d v="2026-02-28T00:00:00"/>
    <n v="2"/>
    <d v="2026-07-16T00:00:00"/>
    <n v="1415"/>
    <n v="141.5"/>
    <n v="382.21"/>
    <n v="1032.79"/>
    <s v="N"/>
  </r>
  <r>
    <n v="40565282"/>
    <s v=""/>
    <s v="700100070001"/>
    <n v="18"/>
    <s v="BLD"/>
    <s v="EQUIPO ELECTRONICO/COMPUTADORA PORTATIL"/>
    <s v="PC1A0XLE"/>
    <s v="THINKPAD T490"/>
    <s v="LENOVO"/>
    <m/>
    <m/>
    <n v="1194"/>
    <m/>
    <s v="NEGRO"/>
    <s v="PLASTICO"/>
    <s v="329 mm×227 mm×17.9 mm"/>
    <s v="BUENO"/>
    <s v="S"/>
    <s v="APROBADO"/>
    <n v="6"/>
    <s v="PLATAFORMA GUBERNAMENTAL NORTE PISO 7 TORRE VERDE BODEGA DE INVENTARIOS"/>
    <n v="97459"/>
    <s v="PLATAFORMA GUBERNAMENTAL NORTE"/>
    <n v="1717662512"/>
    <s v="FLORES FLORES JOFFRE FABIAN"/>
    <s v="S"/>
    <s v="DONACION"/>
    <s v="ACTA"/>
    <s v="No Aplica"/>
    <s v="LEGALIZADO"/>
    <s v="S"/>
    <s v="S"/>
    <s v="DONACION LAPTOP POR PARTE DE UNHCR ACNUR CONFORME ACTA DE DONACIÓN SUSCRITA SERIE PC1A0XLE, MODELO THINKPAD T490, MARCA LENOVO"/>
    <n v="0"/>
    <x v="3"/>
    <s v="S"/>
    <d v="2025-11-06T00:00:00"/>
    <d v="2025-11-06T00:00:00"/>
    <d v="2026-02-28T00:00:00"/>
    <n v="3"/>
    <d v="2028-11-04T00:00:00"/>
    <n v="1194"/>
    <n v="119.4"/>
    <n v="1081.1500000000001"/>
    <n v="112.85"/>
    <s v="N"/>
  </r>
  <r>
    <n v="40565758"/>
    <s v=""/>
    <s v="700100070001"/>
    <n v="32"/>
    <s v="BLD"/>
    <s v="EQUIPO ELECTRONICO/COMPUTADORA PORTATIL"/>
    <s v="SPC1EWQVW"/>
    <s v="THINKPAD T490"/>
    <s v="LENOVO"/>
    <m/>
    <m/>
    <n v="1183"/>
    <m/>
    <s v="NEGRO"/>
    <s v="PLASTICO"/>
    <s v="329 mm×227 mm×17.9 mm"/>
    <s v="BUENO"/>
    <s v="S"/>
    <s v="APROBADO"/>
    <n v="6"/>
    <s v="PLATAFORMA GUBERNAMENTAL NORTE PISO 7 TORRE VERDE BODEGA DE INVENTARIOS"/>
    <n v="97459"/>
    <s v="PLATAFORMA GUBERNAMENTAL NORTE"/>
    <n v="1717662512"/>
    <s v="FLORES FLORES JOFFRE FABIAN"/>
    <s v="S"/>
    <s v="DONACION"/>
    <s v="ACTA"/>
    <s v="No Aplica"/>
    <s v="LEGALIZADO"/>
    <s v="S"/>
    <s v="S"/>
    <s v="DONACION LAPTOP POR PARTE DE UNHCR ACNUR CONFORME ACTA DE DONACIÓN SUSCRITA SERIE SPC1EWQVW, MODELO THINKPAD T490, MARCA LENOVO"/>
    <n v="0"/>
    <x v="3"/>
    <s v="S"/>
    <d v="2025-11-06T00:00:00"/>
    <d v="2025-11-06T00:00:00"/>
    <d v="2026-02-28T00:00:00"/>
    <n v="3"/>
    <d v="2028-11-04T00:00:00"/>
    <n v="1183"/>
    <n v="118.3"/>
    <n v="1071.18"/>
    <n v="111.82"/>
    <s v="N"/>
  </r>
  <r>
    <n v="40569016"/>
    <s v=""/>
    <s v="700100070001"/>
    <n v="34"/>
    <s v="BLD"/>
    <s v="EQUIPO ELECTRONICO/COMPUTADORA PORTATIL"/>
    <s v="SPC1EWQWS"/>
    <s v="THINKPAD T490"/>
    <s v="LENOVO"/>
    <m/>
    <m/>
    <n v="1183"/>
    <m/>
    <s v="NEGRO"/>
    <s v="PLASTICO"/>
    <s v="329 mm×227 mm×17.9 mm"/>
    <s v="BUENO"/>
    <s v="S"/>
    <s v="APROBADO"/>
    <n v="6"/>
    <s v="PLATAFORMA GUBERNAMENTAL NORTE PISO 7 TORRE VERDE BODEGA DE INVENTARIOS"/>
    <n v="97459"/>
    <s v="PLATAFORMA GUBERNAMENTAL NORTE"/>
    <n v="1717662512"/>
    <s v="FLORES FLORES JOFFRE FABIAN"/>
    <s v="S"/>
    <s v="DONACION"/>
    <s v="ACTA"/>
    <s v="No Aplica"/>
    <s v="LEGALIZADO"/>
    <s v="S"/>
    <s v="S"/>
    <s v="DONACION LAPTOP POR PARTE DE UNHCR ACNUR CONFORME ACTA DE DONACIÓN SUSCRITA SERIE SPC1EWQWS, MODELO THINKPAD T490, MARCA LENOVO"/>
    <n v="0"/>
    <x v="3"/>
    <s v="S"/>
    <d v="2025-11-07T00:00:00"/>
    <d v="2025-11-07T00:00:00"/>
    <d v="2026-02-28T00:00:00"/>
    <n v="3"/>
    <d v="2028-11-05T00:00:00"/>
    <n v="1183"/>
    <n v="118.3"/>
    <n v="1072.1500000000001"/>
    <n v="110.85"/>
    <s v="N"/>
  </r>
  <r>
    <n v="40586259"/>
    <s v=""/>
    <s v="700100960001"/>
    <n v="74"/>
    <s v="BLD"/>
    <s v="EQUIPO ELECTRONICO/AURICULAR"/>
    <s v="1D7134"/>
    <s v="BLACKWIRE 3220-C3220 USB-A"/>
    <s v="PLANTRONICS"/>
    <m/>
    <m/>
    <n v="67.5"/>
    <m/>
    <s v="NEGRO Y ROJO"/>
    <s v="PLASTICO"/>
    <s v="155 X 32 X 178 mm"/>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1D7134, MODELO BLACKWIRE 3220-C3220 USB-A MARCA PLANTRONICS"/>
    <n v="0"/>
    <x v="3"/>
    <s v="S"/>
    <d v="2025-11-11T00:00:00"/>
    <d v="2025-11-11T00:00:00"/>
    <d v="2026-02-28T00:00:00"/>
    <n v="3"/>
    <d v="2028-11-09T00:00:00"/>
    <n v="67.5"/>
    <n v="6.75"/>
    <n v="61.4"/>
    <n v="6.1"/>
    <s v="N"/>
  </r>
  <r>
    <n v="40582190"/>
    <s v=""/>
    <s v="700100440001"/>
    <n v="58"/>
    <s v="BLD"/>
    <s v="EQUIPO ELECTRONICO/MONITOR"/>
    <s v="CNC9192TFN"/>
    <s v="ELITEDISPLAY E243d 23,8"/>
    <s v="HP"/>
    <m/>
    <m/>
    <n v="298"/>
    <m/>
    <s v="NEGRO Y GRIS"/>
    <s v="PLASTICO"/>
    <s v="23,8 PULGADAS"/>
    <s v="BUENO"/>
    <s v="S"/>
    <s v="APROBADO"/>
    <n v="6"/>
    <s v="PLATAFORMA GUBERNAMENTAL NORTE PISO 7 TORRE VERDE BODEGA DE INVENTARIOS"/>
    <n v="97459"/>
    <s v="PLATAFORMA GUBERNAMENTAL NORTE"/>
    <n v="1722641816"/>
    <s v="ANDA JIMENEZ ANA GABRIELA"/>
    <s v="S"/>
    <s v="DONACION"/>
    <s v="ACTA"/>
    <s v="No Aplica"/>
    <s v="LEGALIZADO"/>
    <s v="S"/>
    <s v="S"/>
    <s v="DONACION MONITOR POR PARTE DE UNHCR ACNUR CONFORME ACTA DE DONACIÓN SUSCRITA SERIE CNC9192TFN, MODELO ELITEDISPLAY E243D 23,8 MARCA HP"/>
    <n v="0"/>
    <x v="3"/>
    <s v="S"/>
    <d v="2025-11-10T00:00:00"/>
    <d v="2025-11-10T00:00:00"/>
    <d v="2026-02-28T00:00:00"/>
    <n v="3"/>
    <d v="2028-11-08T00:00:00"/>
    <n v="298"/>
    <n v="29.8"/>
    <n v="270.81"/>
    <n v="27.19"/>
    <s v="N"/>
  </r>
  <r>
    <n v="40588668"/>
    <s v=""/>
    <s v="700100960001"/>
    <n v="84"/>
    <s v="BLD"/>
    <s v="EQUIPO ELECTRONICO/AURICULAR"/>
    <s v="2V1H5V"/>
    <s v="BLACKWIRE 3220-C3220 USB-A"/>
    <s v="PLANTRONICS"/>
    <m/>
    <m/>
    <n v="45.4"/>
    <m/>
    <s v="NEGRO Y ROJO"/>
    <s v="PLASTICO"/>
    <s v="155 X 32 X 178 mm"/>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2V1H5V, MODELO BLACKWIRE 3220-C3220 USB-A MARCA PLANTRONICS"/>
    <n v="0"/>
    <x v="3"/>
    <s v="S"/>
    <d v="2025-11-12T00:00:00"/>
    <d v="2025-11-12T00:00:00"/>
    <d v="2026-02-28T00:00:00"/>
    <n v="3"/>
    <d v="2028-11-10T00:00:00"/>
    <n v="45.4"/>
    <n v="4.54"/>
    <n v="41.34"/>
    <n v="4.0599999999999996"/>
    <s v="N"/>
  </r>
  <r>
    <n v="40631281"/>
    <s v=""/>
    <s v="700100070001"/>
    <n v="124"/>
    <s v="BLD"/>
    <s v="EQUIPO ELECTRONICO/COMPUTADORA PORTATIL"/>
    <s v="DBD4CS3"/>
    <s v="LATITUDE 3520"/>
    <s v="DELL"/>
    <m/>
    <m/>
    <n v="1135"/>
    <m/>
    <s v="NEGRO"/>
    <s v="METAL Y PLASTICO"/>
    <s v="361mm x 240.95mm x 18.06mm"/>
    <s v="BUENO"/>
    <s v="S"/>
    <s v="APROBADO"/>
    <n v="6"/>
    <s v="PLATAFORMA GUBERNAMENTAL NORTE PISO 7 TORRE VERDE BODEGA DE INVENTARIOS"/>
    <n v="97459"/>
    <s v="PLATAFORMA GUBERNAMENTAL NORTE"/>
    <n v="1717662512"/>
    <s v="FLORES FLORES JOFFRE FABIAN"/>
    <s v="S"/>
    <s v="DONACION"/>
    <s v="ACTA"/>
    <s v="No Aplica"/>
    <s v="LEGALIZADO"/>
    <s v="S"/>
    <s v="S"/>
    <s v="DONACION LAPTOP (INCLUYE CARGADOR DELL NO INCLUYE DISCO DURO) POR PARTE DE OIM CONFORME ACTA DE DONACIÓN SUSCRITA SERIE DBD4CS3, MODELO LATITUDE 3520, MARCA DELL"/>
    <n v="0"/>
    <x v="3"/>
    <s v="S"/>
    <d v="2025-11-24T00:00:00"/>
    <d v="2025-11-24T00:00:00"/>
    <d v="2026-02-28T00:00:00"/>
    <n v="3"/>
    <d v="2028-11-22T00:00:00"/>
    <n v="1225"/>
    <n v="122.5"/>
    <n v="1127.3399999999999"/>
    <n v="97.66"/>
    <s v="N"/>
  </r>
  <r>
    <n v="40581310"/>
    <s v=""/>
    <s v="700100440001"/>
    <n v="50"/>
    <s v="BLD"/>
    <s v="EQUIPO ELECTRONICO/MONITOR"/>
    <s v="CNC9192T5N"/>
    <s v="ELITEDISPLAY E243D 23,8"/>
    <s v="HP"/>
    <m/>
    <m/>
    <n v="298"/>
    <m/>
    <s v="NEGRO Y GRIS"/>
    <s v="PLASTICO"/>
    <s v="23.8 PULGADAS"/>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CNC9192T5N, MODELO ELITEDISPLAY E243D 23,8 MARCA HP"/>
    <n v="0"/>
    <x v="3"/>
    <s v="S"/>
    <d v="2025-11-10T00:00:00"/>
    <d v="2025-11-10T00:00:00"/>
    <d v="2026-02-28T00:00:00"/>
    <n v="3"/>
    <d v="2028-11-08T00:00:00"/>
    <n v="298"/>
    <n v="29.8"/>
    <n v="270.81"/>
    <n v="27.19"/>
    <s v="N"/>
  </r>
  <r>
    <n v="40570827"/>
    <s v=""/>
    <s v="700100070001"/>
    <n v="37"/>
    <s v="BLD"/>
    <s v="EQUIPO ELECTRONICO/COMPUTADORA PORTATIL"/>
    <s v="SPC1EWQWL"/>
    <s v="THINKPAD T490"/>
    <s v="LENOVO"/>
    <m/>
    <m/>
    <n v="1183"/>
    <m/>
    <s v="NEGRO"/>
    <s v="PLASTICO"/>
    <s v="329 mm×227 mm×17.9 mm"/>
    <s v="BUENO"/>
    <s v="S"/>
    <s v="APROBADO"/>
    <n v="6"/>
    <s v="PLATAFORMA GUBERNAMENTAL NORTE PISO 7 TORRE VERDE BODEGA DE INVENTARIOS"/>
    <n v="97459"/>
    <s v="PLATAFORMA GUBERNAMENTAL NORTE"/>
    <n v="1717662512"/>
    <s v="FLORES FLORES JOFFRE FABIAN"/>
    <s v="S"/>
    <s v="DONACION"/>
    <s v="ACTA"/>
    <s v="No Aplica"/>
    <s v="LEGALIZADO"/>
    <s v="S"/>
    <s v="S"/>
    <s v="DONACION LAPTOP POR PARTE DE UNHCR ACNUR CONFORME ACTA DE DONACIÓN SUSCRITA SERIE SPC1EWQWL, MODELO THINKPAD T490, MARCA LENOVO"/>
    <n v="0"/>
    <x v="3"/>
    <s v="S"/>
    <d v="2025-11-07T00:00:00"/>
    <d v="2025-11-07T00:00:00"/>
    <d v="2026-02-28T00:00:00"/>
    <n v="3"/>
    <d v="2028-11-05T00:00:00"/>
    <n v="1183"/>
    <n v="118.3"/>
    <n v="1072.1500000000001"/>
    <n v="110.85"/>
    <s v="N"/>
  </r>
  <r>
    <n v="40588663"/>
    <s v=""/>
    <s v="700100960001"/>
    <n v="83"/>
    <s v="BLD"/>
    <s v="EQUIPO ELECTRONICO/AURICULAR"/>
    <s v="2RAPCU"/>
    <s v="BLACKWIRE 3220-C3220 USB-A"/>
    <s v="PLANTRONICS"/>
    <m/>
    <m/>
    <n v="67.5"/>
    <m/>
    <s v="NEGRO Y ROJO"/>
    <s v="PLASTICO"/>
    <s v="155 X 32 X 178 mm"/>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2RAPCU, MODELO BLACKWIRE 3220-C3220 USB-A MARCA PLANTRONICS"/>
    <n v="0"/>
    <x v="3"/>
    <s v="S"/>
    <d v="2025-11-12T00:00:00"/>
    <d v="2025-11-12T00:00:00"/>
    <d v="2026-02-28T00:00:00"/>
    <n v="3"/>
    <d v="2028-11-10T00:00:00"/>
    <n v="67.5"/>
    <n v="6.75"/>
    <n v="61.46"/>
    <n v="6.04"/>
    <s v="N"/>
  </r>
  <r>
    <n v="40580507"/>
    <s v=""/>
    <s v="700100440001"/>
    <n v="48"/>
    <s v="BLD"/>
    <s v="EQUIPO ELECTRONICO/MONITOR"/>
    <s v="CNC9192TFD"/>
    <s v="ELITEDISPLAY E243D 23,8"/>
    <s v="HP"/>
    <m/>
    <m/>
    <n v="298"/>
    <m/>
    <s v="NEGRO Y GRIS"/>
    <s v="PLASTICO"/>
    <s v="23.8 PULGADAS"/>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CNC9192TFD, MODELO ELITEDISPLAY E243D 23,8 MARCA HP"/>
    <n v="0"/>
    <x v="3"/>
    <s v="S"/>
    <d v="2025-11-10T00:00:00"/>
    <d v="2025-11-10T00:00:00"/>
    <d v="2026-02-28T00:00:00"/>
    <n v="1"/>
    <d v="2026-11-09T00:00:00"/>
    <n v="298"/>
    <n v="29.8"/>
    <n v="216.45"/>
    <n v="81.55"/>
    <s v="N"/>
  </r>
  <r>
    <n v="40631278"/>
    <s v=""/>
    <s v="700100070001"/>
    <n v="123"/>
    <s v="BLD"/>
    <s v="EQUIPO ELECTRONICO/COMPUTADORA PORTATIL"/>
    <s v="CBD4CS3"/>
    <s v="LATITUDE 3520"/>
    <s v="DELL"/>
    <m/>
    <m/>
    <n v="1135"/>
    <m/>
    <s v="NEGRO"/>
    <s v="METAL Y PLASTICO"/>
    <s v="361mm x 240.95mm x 18.06mm"/>
    <s v="BUENO"/>
    <s v="S"/>
    <s v="APROBADO"/>
    <n v="6"/>
    <s v="PLATAFORMA GUBERNAMENTAL NORTE PISO 7 TORRE VERDE BODEGA DE INVENTARIOS"/>
    <n v="97459"/>
    <s v="PLATAFORMA GUBERNAMENTAL NORTE"/>
    <n v="1717662512"/>
    <s v="FLORES FLORES JOFFRE FABIAN"/>
    <s v="S"/>
    <s v="DONACION"/>
    <s v="ACTA"/>
    <s v="No Aplica"/>
    <s v="LEGALIZADO"/>
    <s v="S"/>
    <s v="S"/>
    <s v="DONACION LAPTOP (INCLUYE CARGADOR DELL NO INCLUYE DISCO DURO) POR PARTE DE OIM CONFORME ACTA DE DONACIÓN SUSCRITA SERIE CBD4CS3, MODELO LATITUDE 3520, MARCA DELL"/>
    <n v="0"/>
    <x v="3"/>
    <s v="S"/>
    <d v="2025-11-24T00:00:00"/>
    <d v="2025-11-24T00:00:00"/>
    <d v="2026-02-28T00:00:00"/>
    <n v="3"/>
    <d v="2028-11-22T00:00:00"/>
    <n v="1225"/>
    <n v="122.5"/>
    <n v="1127.3399999999999"/>
    <n v="97.66"/>
    <s v="N"/>
  </r>
  <r>
    <n v="40581988"/>
    <s v=""/>
    <s v="700100440001"/>
    <n v="55"/>
    <s v="BLD"/>
    <s v="EQUIPO ELECTRONICO/MONITOR"/>
    <s v="CNC9192TFP"/>
    <s v="ELITEDISPLAY E243d 23,8"/>
    <s v="HP"/>
    <m/>
    <m/>
    <n v="298"/>
    <m/>
    <s v="NEGRO Y GRIS"/>
    <s v="PLASTICO"/>
    <s v="23,8 PULGADAS"/>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CNC9192TFP, MODELO ELITEDISPLAY E243D 23,8 MARCA HP"/>
    <n v="0"/>
    <x v="3"/>
    <s v="S"/>
    <d v="2025-11-10T00:00:00"/>
    <d v="2025-11-10T00:00:00"/>
    <d v="2026-02-28T00:00:00"/>
    <n v="3"/>
    <d v="2028-11-08T00:00:00"/>
    <n v="298"/>
    <n v="29.8"/>
    <n v="270.81"/>
    <n v="27.19"/>
    <s v="N"/>
  </r>
  <r>
    <n v="40631042"/>
    <s v=""/>
    <s v="700100070001"/>
    <n v="116"/>
    <s v="BLD"/>
    <s v="EQUIPO ELECTRONICO/COMPUTADORA PORTATIL"/>
    <s v="1B6ZGS3"/>
    <s v="LATITUDE 3520"/>
    <s v="DELL"/>
    <m/>
    <m/>
    <n v="1135"/>
    <m/>
    <s v="NEGRO"/>
    <s v="METAL Y PLASTICO"/>
    <s v="361mm x 240.95mm x 18.06mm"/>
    <s v="BUENO"/>
    <s v="S"/>
    <s v="APROBADO"/>
    <n v="6"/>
    <s v="PLATAFORMA GUBERNAMENTAL NORTE PISO 7 TORRE VERDE BODEGA DE INVENTARIOS"/>
    <n v="97459"/>
    <s v="PLATAFORMA GUBERNAMENTAL NORTE"/>
    <n v="1717662512"/>
    <s v="FLORES FLORES JOFFRE FABIAN"/>
    <s v="S"/>
    <s v="DONACION"/>
    <s v="ACTA"/>
    <s v="No Aplica"/>
    <s v="LEGALIZADO"/>
    <s v="S"/>
    <s v="S"/>
    <s v="DONACION LAPTOP (INCLUYE CARGADOR DELL NO INCLUYE DISCO DURO) POR PARTE DE OIM CONFORME ACTA DE DONACIÓN SUSCRITA SERIE 1B6ZGS3, MODELO LATITUDE 3520, MARCA DELL"/>
    <n v="0"/>
    <x v="3"/>
    <s v="S"/>
    <d v="2025-11-24T00:00:00"/>
    <d v="2025-11-24T00:00:00"/>
    <d v="2026-02-28T00:00:00"/>
    <n v="3"/>
    <d v="2028-11-22T00:00:00"/>
    <n v="1225"/>
    <n v="122.5"/>
    <n v="1127.3399999999999"/>
    <n v="97.66"/>
    <s v="N"/>
  </r>
  <r>
    <n v="40588455"/>
    <s v=""/>
    <s v="700100960001"/>
    <n v="81"/>
    <s v="BLD"/>
    <s v="EQUIPO ELECTRONICO/AURICULAR"/>
    <s v="2XAL6Y"/>
    <s v="BLACKWIRE 3220-C3220 USB-A"/>
    <s v="PLANTRONICS"/>
    <m/>
    <m/>
    <n v="45.4"/>
    <m/>
    <s v="NEGRO Y ROJO"/>
    <s v="PLASTICO"/>
    <s v="155 X 32 X 178 mm"/>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2XAL6Y, MODELO BLACKWIRE 3220-C3220 USB-A MARCA PLANTRONICS"/>
    <n v="0"/>
    <x v="3"/>
    <s v="S"/>
    <d v="2025-11-12T00:00:00"/>
    <d v="2025-11-12T00:00:00"/>
    <d v="2026-02-28T00:00:00"/>
    <n v="3"/>
    <d v="2028-11-10T00:00:00"/>
    <n v="45.4"/>
    <n v="4.54"/>
    <n v="41.34"/>
    <n v="4.0599999999999996"/>
    <s v="N"/>
  </r>
  <r>
    <n v="40588447"/>
    <s v=""/>
    <s v="700100960001"/>
    <n v="80"/>
    <s v="BLD"/>
    <s v="EQUIPO ELECTRONICO/AURICULAR"/>
    <s v="22339X"/>
    <s v="BLACKWIRE 3220-C3220 USB-A"/>
    <s v="PLANTRONICS"/>
    <m/>
    <m/>
    <n v="39.47"/>
    <m/>
    <s v="NEGRO Y ROJO"/>
    <s v="PLASTICO"/>
    <s v="155 X 32 X 178 mm"/>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22339X, MODELO BLACKWIRE 3220-C3220 USB-A MARCA PLANTRONICS"/>
    <n v="0"/>
    <x v="3"/>
    <s v="S"/>
    <d v="2025-11-12T00:00:00"/>
    <d v="2025-11-12T00:00:00"/>
    <d v="2026-02-28T00:00:00"/>
    <n v="3"/>
    <d v="2028-11-10T00:00:00"/>
    <n v="39.47"/>
    <n v="3.95"/>
    <n v="35.93"/>
    <n v="3.54"/>
    <s v="N"/>
  </r>
  <r>
    <n v="40580510"/>
    <s v=""/>
    <s v="700100440001"/>
    <n v="49"/>
    <s v="BLD"/>
    <s v="EQUIPO ELECTRONICO/MONITOR"/>
    <s v="CNC9341VDV"/>
    <s v="ELITEDISPLAY E243D 23,8"/>
    <s v="HP"/>
    <m/>
    <m/>
    <n v="297"/>
    <m/>
    <s v="NEGRO Y GRIS"/>
    <s v="PLASTICO"/>
    <s v="23.8 PULGADAS"/>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CNC9341VDV, MODELO ELITEDISPLAY E243D 23,8 MARCA HP"/>
    <n v="0"/>
    <x v="3"/>
    <s v="S"/>
    <d v="2025-11-10T00:00:00"/>
    <d v="2025-11-10T00:00:00"/>
    <d v="2026-02-28T00:00:00"/>
    <n v="3"/>
    <d v="2028-11-08T00:00:00"/>
    <n v="297"/>
    <n v="29.7"/>
    <n v="269.89999999999998"/>
    <n v="27.1"/>
    <s v="N"/>
  </r>
  <r>
    <n v="40582192"/>
    <s v=""/>
    <s v="700100440001"/>
    <n v="59"/>
    <s v="BLD"/>
    <s v="EQUIPO ELECTRONICO/MONITOR"/>
    <s v="CNC9192T60"/>
    <s v="ELITEDISPLAY E243d 23,8"/>
    <s v="HP"/>
    <m/>
    <m/>
    <n v="298"/>
    <m/>
    <s v="NEGRO Y GRIS"/>
    <s v="PLASTICO"/>
    <s v="23,8 PULGADAS"/>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CNC9192T60, MODELO ELITEDISPLAY E243D 23,8 MARCA HP"/>
    <n v="0"/>
    <x v="3"/>
    <s v="S"/>
    <d v="2025-11-10T00:00:00"/>
    <d v="2025-11-10T00:00:00"/>
    <d v="2026-02-28T00:00:00"/>
    <n v="3"/>
    <d v="2028-11-08T00:00:00"/>
    <n v="298"/>
    <n v="29.8"/>
    <n v="270.81"/>
    <n v="27.19"/>
    <s v="N"/>
  </r>
  <r>
    <n v="40588456"/>
    <s v=""/>
    <s v="700100960001"/>
    <n v="82"/>
    <s v="BLD"/>
    <s v="EQUIPO ELECTRONICO/AURICULAR"/>
    <s v="2U4TBN"/>
    <s v="BLACKWIRE 3220-C3220 USB-A"/>
    <s v="PLANTRONICS"/>
    <m/>
    <m/>
    <n v="45.4"/>
    <m/>
    <s v="NEGRO Y ROJO"/>
    <s v="PLASTICO"/>
    <s v="155 X 32 X 178 mm"/>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2U4TBN, MODELO BLACKWIRE 3220-C3220 USB-A MARCA PLANTRONICS"/>
    <n v="0"/>
    <x v="3"/>
    <s v="S"/>
    <d v="2025-11-12T00:00:00"/>
    <d v="2025-11-12T00:00:00"/>
    <d v="2026-02-28T00:00:00"/>
    <n v="3"/>
    <d v="2028-11-10T00:00:00"/>
    <n v="45.4"/>
    <n v="4.54"/>
    <n v="41.34"/>
    <n v="4.0599999999999996"/>
    <s v="N"/>
  </r>
  <r>
    <n v="40588693"/>
    <s v=""/>
    <s v="700100960001"/>
    <n v="86"/>
    <s v="BLD"/>
    <s v="EQUIPO ELECTRONICO/AURICULAR"/>
    <s v="2V1G2L"/>
    <s v="BLACKWIRE 3220-C3220 USB-A"/>
    <s v="PLANTRONICS"/>
    <m/>
    <m/>
    <n v="45.4"/>
    <m/>
    <s v="NEGRO Y ROJO"/>
    <s v="PLASTICO"/>
    <s v="155 X 32 X 178 mm"/>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2V1G2L, MODELO BLACKWIRE 3220-C3220 USB-A MARCA PLANTRONICS"/>
    <n v="0"/>
    <x v="3"/>
    <s v="S"/>
    <d v="2025-11-12T00:00:00"/>
    <d v="2025-11-12T00:00:00"/>
    <d v="2026-02-28T00:00:00"/>
    <n v="3"/>
    <d v="2028-11-10T00:00:00"/>
    <n v="45.4"/>
    <n v="4.54"/>
    <n v="41.34"/>
    <n v="4.0599999999999996"/>
    <s v="N"/>
  </r>
  <r>
    <n v="40588880"/>
    <s v=""/>
    <s v="700100960001"/>
    <n v="87"/>
    <s v="BLD"/>
    <s v="EQUIPO ELECTRONICO/AURICULAR"/>
    <s v="2M80Y3"/>
    <s v="BLACKWIRE 3220-C3220 USB-A"/>
    <s v="PLANTRONICS"/>
    <m/>
    <m/>
    <n v="45.5"/>
    <m/>
    <s v="NEGRO Y ROJO"/>
    <s v="PLASTICO"/>
    <s v="155 X 32 X 178 mm"/>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2M80Y3, MODELO BLACKWIRE 3220-C3220 USB-A MARCA PLANTRONICS"/>
    <n v="0"/>
    <x v="3"/>
    <s v="S"/>
    <d v="2025-11-12T00:00:00"/>
    <d v="2025-11-12T00:00:00"/>
    <d v="2026-02-28T00:00:00"/>
    <n v="3"/>
    <d v="2028-11-10T00:00:00"/>
    <n v="45.5"/>
    <n v="4.55"/>
    <n v="41.42"/>
    <n v="4.08"/>
    <s v="N"/>
  </r>
  <r>
    <n v="40588881"/>
    <s v=""/>
    <s v="700100960001"/>
    <n v="88"/>
    <s v="BLD"/>
    <s v="EQUIPO ELECTRONICO/AURICULAR"/>
    <s v="2U5LGE"/>
    <s v="BLACKWIRE 3220-C3220 USB-A"/>
    <s v="PLANTRONICS"/>
    <m/>
    <m/>
    <n v="45.4"/>
    <m/>
    <s v="NEGRO Y ROJO"/>
    <s v="PLASTICO"/>
    <s v="155 X 32 X 178 mm"/>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2U5LGE, MODELO BLACKWIRE 3220-C3220 USB-A MARCA PLANTRONICS"/>
    <n v="0"/>
    <x v="3"/>
    <s v="S"/>
    <d v="2025-11-12T00:00:00"/>
    <d v="2025-11-12T00:00:00"/>
    <d v="2026-02-28T00:00:00"/>
    <n v="3"/>
    <d v="2028-11-10T00:00:00"/>
    <n v="45.4"/>
    <n v="4.54"/>
    <n v="41.34"/>
    <n v="4.0599999999999996"/>
    <s v="N"/>
  </r>
  <r>
    <n v="40631242"/>
    <s v=""/>
    <s v="700100070001"/>
    <n v="119"/>
    <s v="BLD"/>
    <s v="EQUIPO ELECTRONICO/COMPUTADORA PORTATIL"/>
    <s v="F2F4CS3"/>
    <s v="LATITUDE 3520"/>
    <s v="DELL"/>
    <m/>
    <m/>
    <n v="1135"/>
    <m/>
    <s v="NEGRO"/>
    <s v="METAL Y PLASTICO"/>
    <s v="361mm x 240.95mm x 18.06mm"/>
    <s v="BUENO"/>
    <s v="S"/>
    <s v="APROBADO"/>
    <n v="6"/>
    <s v="PLATAFORMA GUBERNAMENTAL NORTE PISO 7 TORRE VERDE BODEGA DE INVENTARIOS"/>
    <n v="97459"/>
    <s v="PLATAFORMA GUBERNAMENTAL NORTE"/>
    <n v="1717662512"/>
    <s v="FLORES FLORES JOFFRE FABIAN"/>
    <s v="S"/>
    <s v="DONACION"/>
    <s v="ACTA"/>
    <s v="No Aplica"/>
    <s v="LEGALIZADO"/>
    <s v="S"/>
    <s v="S"/>
    <s v="DONACION LAPTOP (INCLUYE CARGADOR DELL NO INCLUYE DISCO DURO) POR PARTE DE OIM CONFORME ACTA DE DONACIÓN SUSCRITA SERIE F2F4CS3, MODELO LATITUDE 3520, MARCA DELL"/>
    <n v="0"/>
    <x v="3"/>
    <s v="S"/>
    <d v="2025-11-24T00:00:00"/>
    <d v="2025-11-24T00:00:00"/>
    <d v="2026-02-28T00:00:00"/>
    <n v="3"/>
    <d v="2028-11-22T00:00:00"/>
    <n v="1225"/>
    <n v="122.5"/>
    <n v="1127.3399999999999"/>
    <n v="97.66"/>
    <s v="N"/>
  </r>
  <r>
    <n v="40581985"/>
    <s v=""/>
    <s v="700100440001"/>
    <n v="54"/>
    <s v="BLD"/>
    <s v="EQUIPO ELECTRONICO/MONITOR"/>
    <s v="CNC9341VF0"/>
    <s v="ELITEDISPLAY E243d 23,8"/>
    <s v="HP"/>
    <m/>
    <m/>
    <n v="297"/>
    <m/>
    <s v="NEGRO Y GRIS"/>
    <s v="PLASTICO"/>
    <s v="23,8 PULGADAS"/>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CNC9341VF0, MODELO ELITEDISPLAY E243D 23,8 MARCA HP"/>
    <n v="0"/>
    <x v="3"/>
    <s v="S"/>
    <d v="2025-11-10T00:00:00"/>
    <d v="2025-11-10T00:00:00"/>
    <d v="2026-02-28T00:00:00"/>
    <n v="3"/>
    <d v="2028-11-08T00:00:00"/>
    <n v="297"/>
    <n v="29.7"/>
    <n v="269.89999999999998"/>
    <n v="27.1"/>
    <s v="N"/>
  </r>
  <r>
    <n v="40631251"/>
    <s v=""/>
    <s v="700100070001"/>
    <n v="121"/>
    <s v="BLD"/>
    <s v="EQUIPO ELECTRONICO/COMPUTADORA PORTATIL"/>
    <s v="1CD4CS3"/>
    <s v="LATITUDE 3520"/>
    <s v="DELL"/>
    <m/>
    <m/>
    <n v="1135"/>
    <m/>
    <s v="NEGRO"/>
    <s v="METAL Y PLASTICO"/>
    <s v="361mm x 240.95mm x 18.06mm"/>
    <s v="BUENO"/>
    <s v="S"/>
    <s v="APROBADO"/>
    <n v="6"/>
    <s v="PLATAFORMA GUBERNAMENTAL NORTE PISO 7 TORRE VERDE BODEGA DE INVENTARIOS"/>
    <n v="97459"/>
    <s v="PLATAFORMA GUBERNAMENTAL NORTE"/>
    <n v="1722641816"/>
    <s v="ANDA JIMENEZ ANA GABRIELA"/>
    <s v="S"/>
    <s v="DONACION"/>
    <s v="ACTA"/>
    <s v="No Aplica"/>
    <s v="LEGALIZADO"/>
    <s v="S"/>
    <s v="S"/>
    <s v="DONACION LAPTOP (INCLUYE CARGADOR DELL NO INCLUYE DISCO DURO) POR PARTE DE OIM CONFORME ACTA DE DONACIÓN SUSCRITA SERIE 1CD4CS3, MODELO LATITUDE 3520, MARCA DELL"/>
    <n v="0"/>
    <x v="3"/>
    <s v="S"/>
    <d v="2025-11-24T00:00:00"/>
    <d v="2025-11-24T00:00:00"/>
    <d v="2026-02-28T00:00:00"/>
    <n v="3"/>
    <d v="2028-11-22T00:00:00"/>
    <n v="1225"/>
    <n v="122.5"/>
    <n v="1127.3399999999999"/>
    <n v="97.66"/>
    <s v="N"/>
  </r>
  <r>
    <n v="40577745"/>
    <s v=""/>
    <s v="700100440001"/>
    <n v="47"/>
    <s v="BLD"/>
    <s v="EQUIPO ELECTRONICO/MONITOR"/>
    <s v="CNC9341W6W"/>
    <s v="ELITEDISPLAY E243D 23,8"/>
    <s v="HP"/>
    <m/>
    <m/>
    <n v="297"/>
    <m/>
    <s v="NEGRO Y GRIS"/>
    <s v="METAL Y PLASTICO"/>
    <s v="23.8 PULGADAS"/>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CNC9341W6W, MODELO ELITEDISPLAY E243D 23,8 MARCA HP"/>
    <n v="0"/>
    <x v="3"/>
    <s v="S"/>
    <d v="2025-11-07T00:00:00"/>
    <d v="2025-11-07T00:00:00"/>
    <d v="2026-02-28T00:00:00"/>
    <n v="1"/>
    <d v="2026-11-06T00:00:00"/>
    <n v="297"/>
    <n v="29.7"/>
    <n v="213.51"/>
    <n v="83.49"/>
    <s v="N"/>
  </r>
  <r>
    <n v="40565339"/>
    <s v=""/>
    <s v="700100070001"/>
    <n v="20"/>
    <s v="BLD"/>
    <s v="EQUIPO ELECTRONICO/COMPUTADORA PORTATIL"/>
    <s v="PC1A0XKX"/>
    <s v="THINKPAD T490"/>
    <s v="LENOVO"/>
    <m/>
    <m/>
    <n v="1194"/>
    <m/>
    <s v="NEGRO"/>
    <s v="PLASTICO"/>
    <s v="329 mm×227 mm×17.9 mm"/>
    <s v="BUENO"/>
    <s v="S"/>
    <s v="APROBADO"/>
    <n v="6"/>
    <s v="PLATAFORMA GUBERNAMENTAL NORTE PISO 7 TORRE VERDE BODEGA DE INVENTARIOS"/>
    <n v="97459"/>
    <s v="PLATAFORMA GUBERNAMENTAL NORTE"/>
    <n v="1717662512"/>
    <s v="FLORES FLORES JOFFRE FABIAN"/>
    <s v="S"/>
    <s v="DONACION"/>
    <s v="ACTA"/>
    <s v="No Aplica"/>
    <s v="LEGALIZADO"/>
    <s v="S"/>
    <s v="S"/>
    <s v="DONACION LAPTOP POR PARTE DE UNHCR ACNUR CONFORME ACTA DE DONACIÓN SUSCRITA SERIE PC1A0XKX, MODELO THINKPAD T490, MARCA LENOVO"/>
    <n v="0"/>
    <x v="3"/>
    <s v="S"/>
    <d v="2025-11-06T00:00:00"/>
    <d v="2025-11-06T00:00:00"/>
    <d v="2026-02-28T00:00:00"/>
    <n v="3"/>
    <d v="2028-11-04T00:00:00"/>
    <n v="1194"/>
    <n v="119.4"/>
    <n v="1081.1500000000001"/>
    <n v="112.85"/>
    <s v="N"/>
  </r>
  <r>
    <n v="40577674"/>
    <s v=""/>
    <s v="700100440001"/>
    <n v="43"/>
    <s v="BLD"/>
    <s v="EQUIPO ELECTRONICO/MONITOR"/>
    <s v="CNC9341TDK"/>
    <s v="ELITEDISPLAY E243D 23,8"/>
    <s v="HP"/>
    <m/>
    <m/>
    <n v="297"/>
    <m/>
    <s v="NEGRO Y GRIS"/>
    <s v="METAL Y PLASTICO"/>
    <s v="23.8 PULGADAS"/>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CNC9341TDK, MODELO ELITEDISPLAY E243D 23,8 MARCA HP"/>
    <n v="0"/>
    <x v="3"/>
    <s v="S"/>
    <d v="2025-11-07T00:00:00"/>
    <d v="2025-11-07T00:00:00"/>
    <d v="2026-02-28T00:00:00"/>
    <n v="1"/>
    <d v="2026-11-06T00:00:00"/>
    <n v="297"/>
    <n v="29.7"/>
    <n v="213.51"/>
    <n v="83.49"/>
    <s v="N"/>
  </r>
  <r>
    <n v="40586208"/>
    <s v=""/>
    <s v="700100960001"/>
    <n v="72"/>
    <s v="BLD"/>
    <s v="EQUIPO ELECTRONICO/AURICULAR"/>
    <s v="2F7MHJ"/>
    <s v="BLACKWIRE 3220-C3220 USB-A"/>
    <s v="PLANTRONICS"/>
    <m/>
    <m/>
    <n v="44.85"/>
    <m/>
    <s v="NEGRO Y ROJO"/>
    <s v="PLASTICO"/>
    <s v="155 X 32 X 178 mm"/>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2F7MHJ, MODELO BLACKWIRE 3220-C3220 USB-A MARCA PLANTRONICS"/>
    <n v="0"/>
    <x v="3"/>
    <s v="S"/>
    <d v="2025-11-11T00:00:00"/>
    <d v="2025-11-11T00:00:00"/>
    <d v="2026-02-28T00:00:00"/>
    <n v="3"/>
    <d v="2028-11-09T00:00:00"/>
    <n v="44.85"/>
    <n v="4.49"/>
    <n v="40.79"/>
    <n v="4.0599999999999996"/>
    <s v="N"/>
  </r>
  <r>
    <n v="40586847"/>
    <s v=""/>
    <s v="700100960001"/>
    <n v="76"/>
    <s v="BLD"/>
    <s v="EQUIPO ELECTRONICO/AURICULAR"/>
    <s v="2XAL7B"/>
    <s v="BLACKWIRE 3220-C3220 USB-A"/>
    <s v="PLANTRONICS"/>
    <m/>
    <m/>
    <n v="45.4"/>
    <m/>
    <s v="NEGRO Y ROJO"/>
    <s v="PLASTICO"/>
    <s v="155 X 32 X 178 mm"/>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2XAL7B, MODELO BLACKWIRE 3220-C3220 USB-A MARCA PLANTRONICS"/>
    <n v="0"/>
    <x v="3"/>
    <s v="S"/>
    <d v="2025-11-11T00:00:00"/>
    <d v="2025-11-11T00:00:00"/>
    <d v="2026-02-28T00:00:00"/>
    <n v="3"/>
    <d v="2028-11-09T00:00:00"/>
    <n v="45.4"/>
    <n v="4.54"/>
    <n v="41.3"/>
    <n v="4.0999999999999996"/>
    <s v="N"/>
  </r>
  <r>
    <n v="40586895"/>
    <s v=""/>
    <s v="700100960001"/>
    <n v="78"/>
    <s v="BLD"/>
    <s v="EQUIPO ELECTRONICO/AURICULAR"/>
    <s v="2229F3"/>
    <s v="BLACKWIRE 3220-C3220 USB-A"/>
    <s v="PLANTRONICS"/>
    <m/>
    <m/>
    <n v="39.47"/>
    <m/>
    <s v="NEGRO Y ROJO"/>
    <s v="PLASTICO"/>
    <s v="155 X 32 X 178 mm"/>
    <s v="BUENO"/>
    <s v="S"/>
    <s v="APROBADO"/>
    <n v="6"/>
    <s v="PLATAFORMA GUBERNAMENTAL NORTE PISO 7 TORRE VERDE BODEGA DE INVENTARIOS"/>
    <n v="97459"/>
    <s v="PLATAFORMA GUBERNAMENTAL NORTE"/>
    <n v="1722641816"/>
    <s v="ANDA JIMENEZ ANA GABRIELA"/>
    <s v="S"/>
    <s v="DONACION"/>
    <s v="ACTA"/>
    <s v="No Aplica"/>
    <s v="LEGALIZADO"/>
    <s v="S"/>
    <s v="S"/>
    <s v="DONACION MONITOR POR PARTE DE UNHCR ACNUR CONFORME ACTA DE DONACIÓN SUSCRITA SERIE 2229F3, MODELO BLACKWIRE 3220-C3220 USB-A MARCA PLANTRONICS"/>
    <n v="0"/>
    <x v="3"/>
    <s v="S"/>
    <d v="2025-11-11T00:00:00"/>
    <d v="2025-11-11T00:00:00"/>
    <d v="2026-02-28T00:00:00"/>
    <n v="3"/>
    <d v="2028-11-09T00:00:00"/>
    <n v="39.47"/>
    <n v="3.95"/>
    <n v="35.9"/>
    <n v="3.57"/>
    <s v="N"/>
  </r>
  <r>
    <n v="40631235"/>
    <s v=""/>
    <s v="700100070001"/>
    <n v="117"/>
    <s v="BLD"/>
    <s v="EQUIPO ELECTRONICO/COMPUTADORA PORTATIL"/>
    <s v="FJF4CS3"/>
    <s v="LATITUDE 3520"/>
    <s v="DELL"/>
    <m/>
    <m/>
    <n v="1135"/>
    <m/>
    <s v="NEGRO"/>
    <s v="METAL Y PLASTICO"/>
    <s v="361mm x 240.95mm x 18.06mm"/>
    <s v="BUENO"/>
    <s v="S"/>
    <s v="APROBADO"/>
    <n v="6"/>
    <s v="PLATAFORMA GUBERNAMENTAL NORTE PISO 7 TORRE VERDE BODEGA DE INVENTARIOS"/>
    <n v="97459"/>
    <s v="PLATAFORMA GUBERNAMENTAL NORTE"/>
    <n v="1717662512"/>
    <s v="FLORES FLORES JOFFRE FABIAN"/>
    <s v="S"/>
    <s v="DONACION"/>
    <s v="ACTA"/>
    <s v="No Aplica"/>
    <s v="LEGALIZADO"/>
    <s v="S"/>
    <s v="S"/>
    <s v="DONACION LAPTOP (INCLUYE CARGADOR DELL NO INCLUYE DISCO DURO) POR PARTE DE OIM CONFORME ACTA DE DONACIÓN SUSCRITA SERIE FJF4CS3, MODELO LATITUDE 3520, MARCA DELL"/>
    <n v="0"/>
    <x v="3"/>
    <s v="S"/>
    <d v="2025-11-24T00:00:00"/>
    <d v="2025-11-24T00:00:00"/>
    <d v="2026-02-28T00:00:00"/>
    <n v="3"/>
    <d v="2028-11-22T00:00:00"/>
    <n v="1225"/>
    <n v="122.5"/>
    <n v="1127.3399999999999"/>
    <n v="97.66"/>
    <s v="N"/>
  </r>
  <r>
    <n v="40588670"/>
    <s v=""/>
    <s v="700100960001"/>
    <n v="85"/>
    <s v="BLD"/>
    <s v="EQUIPO ELECTRONICO/AURICULAR"/>
    <s v="2F7PJV"/>
    <s v="BLACKWIRE 3220-C3220 USB-A"/>
    <s v="PLANTRONICS"/>
    <m/>
    <m/>
    <n v="44.85"/>
    <m/>
    <s v="NEGRO Y ROJO"/>
    <s v="PLASTICO"/>
    <s v="155 X 32 X 178 mm"/>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2F7PJV, MODELO BLACKWIRE 3220-C3220 USB-A MARCA PLANTRONICS"/>
    <n v="0"/>
    <x v="3"/>
    <s v="S"/>
    <d v="2025-11-12T00:00:00"/>
    <d v="2025-11-12T00:00:00"/>
    <d v="2026-02-28T00:00:00"/>
    <n v="3"/>
    <d v="2028-11-10T00:00:00"/>
    <n v="44.85"/>
    <n v="4.49"/>
    <n v="40.83"/>
    <n v="4.0199999999999996"/>
    <s v="N"/>
  </r>
  <r>
    <n v="40565757"/>
    <s v=""/>
    <s v="700100070001"/>
    <n v="31"/>
    <s v="BLD"/>
    <s v="EQUIPO ELECTRONICO/COMPUTADORA PORTATIL"/>
    <s v="PC1A0XKT"/>
    <s v="THINKPAD T490"/>
    <s v="LENOVO"/>
    <m/>
    <m/>
    <n v="1194"/>
    <m/>
    <s v="NEGRO"/>
    <s v="PLASTICO"/>
    <s v="329 mm×227 mm×17.9 mm"/>
    <s v="BUENO"/>
    <s v="S"/>
    <s v="APROBADO"/>
    <n v="6"/>
    <s v="PLATAFORMA GUBERNAMENTAL NORTE PISO 7 TORRE VERDE BODEGA DE INVENTARIOS"/>
    <n v="97459"/>
    <s v="PLATAFORMA GUBERNAMENTAL NORTE"/>
    <n v="1717662512"/>
    <s v="FLORES FLORES JOFFRE FABIAN"/>
    <s v="S"/>
    <s v="DONACION"/>
    <s v="ACTA"/>
    <s v="No Aplica"/>
    <s v="LEGALIZADO"/>
    <s v="S"/>
    <s v="S"/>
    <s v="DONACION LAPTOP POR PARTE DE UNHCR ACNUR CONFORME ACTA DE DONACIÓN SUSCRITA SERIE PC1A0XKT, MODELO THINKPAD T490, MARCA LENOVO"/>
    <n v="0"/>
    <x v="3"/>
    <s v="S"/>
    <d v="2025-11-06T00:00:00"/>
    <d v="2025-11-06T00:00:00"/>
    <d v="2026-02-28T00:00:00"/>
    <n v="3"/>
    <d v="2028-11-04T00:00:00"/>
    <n v="1194"/>
    <n v="119.4"/>
    <n v="1081.1500000000001"/>
    <n v="112.85"/>
    <s v="N"/>
  </r>
  <r>
    <n v="40586766"/>
    <s v=""/>
    <s v="700100960001"/>
    <n v="75"/>
    <s v="BLD"/>
    <s v="EQUIPO ELECTRONICO/AURICULAR"/>
    <s v="2V1H5U"/>
    <s v="BLACKWIRE 3220-C3220 USB-A"/>
    <s v="PLANTRONICS"/>
    <m/>
    <m/>
    <n v="45.4"/>
    <m/>
    <s v="NEGRO Y ROJO"/>
    <s v="PLASTICO"/>
    <s v="155 X 32 X 178 mm"/>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2V1H5U, MODELO BLACKWIRE 3220-C3220 USB-A MARCA PLANTRONICS"/>
    <n v="0"/>
    <x v="3"/>
    <s v="S"/>
    <d v="2025-11-11T00:00:00"/>
    <d v="2025-11-11T00:00:00"/>
    <d v="2026-02-28T00:00:00"/>
    <n v="3"/>
    <d v="2028-11-09T00:00:00"/>
    <n v="45.4"/>
    <n v="4.54"/>
    <n v="41.3"/>
    <n v="4.0999999999999996"/>
    <s v="N"/>
  </r>
  <r>
    <n v="40588882"/>
    <s v=""/>
    <s v="700100960001"/>
    <n v="89"/>
    <s v="BLD"/>
    <s v="EQUIPO ELECTRONICO/AURICULAR"/>
    <s v="2XAL5V"/>
    <s v="BLACKWIRE 3220-C3220 USB-A"/>
    <s v="PLANTRONICS"/>
    <m/>
    <m/>
    <n v="45.4"/>
    <m/>
    <s v="NEGRO Y ROJO"/>
    <s v="PLASTICO"/>
    <s v="155 X 32 X 178 mm"/>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2XAL5V, MODELO BLACKWIRE 3220-C3220 USB-A MARCA PLANTRONICS"/>
    <n v="0"/>
    <x v="3"/>
    <s v="S"/>
    <d v="2025-11-12T00:00:00"/>
    <d v="2025-11-12T00:00:00"/>
    <d v="2026-02-28T00:00:00"/>
    <n v="3"/>
    <d v="2028-11-10T00:00:00"/>
    <n v="45.4"/>
    <n v="4.54"/>
    <n v="41.34"/>
    <n v="4.0599999999999996"/>
    <s v="N"/>
  </r>
  <r>
    <n v="40565324"/>
    <s v=""/>
    <s v="700100070001"/>
    <n v="19"/>
    <s v="BLD"/>
    <s v="EQUIPO ELECTRONICO/COMPUTADORA PORTATIL"/>
    <s v="SPC18G353"/>
    <s v="THINKPAD T490"/>
    <s v="LENOVO"/>
    <m/>
    <m/>
    <n v="1213"/>
    <m/>
    <s v="NEGRO"/>
    <s v="PLASTICO"/>
    <s v="329 mm×227 mm×17.9 mm"/>
    <s v="BUENO"/>
    <s v="S"/>
    <s v="APROBADO"/>
    <n v="6"/>
    <s v="PLATAFORMA GUBERNAMENTAL NORTE PISO 7 TORRE VERDE BODEGA DE INVENTARIOS"/>
    <n v="97459"/>
    <s v="PLATAFORMA GUBERNAMENTAL NORTE"/>
    <n v="1717662512"/>
    <s v="FLORES FLORES JOFFRE FABIAN"/>
    <s v="S"/>
    <s v="DONACION"/>
    <s v="ACTA"/>
    <s v="No Aplica"/>
    <s v="LEGALIZADO"/>
    <s v="S"/>
    <s v="S"/>
    <s v="DONACION LAPTOP POR PARTE DE UNHCR ACNUR CONFORME ACTA DE DONACIÓN SUSCRITA SERIE SPC18G353, MODELO THINKPAD T490, MARCA LENOVO"/>
    <n v="0"/>
    <x v="3"/>
    <s v="S"/>
    <d v="2025-11-06T00:00:00"/>
    <d v="2025-11-06T00:00:00"/>
    <d v="2026-02-28T00:00:00"/>
    <n v="3"/>
    <d v="2028-11-04T00:00:00"/>
    <n v="1213"/>
    <n v="121.3"/>
    <n v="1098.3499999999999"/>
    <n v="114.65"/>
    <s v="N"/>
  </r>
  <r>
    <n v="40631236"/>
    <s v=""/>
    <s v="700100070001"/>
    <n v="118"/>
    <s v="BLD"/>
    <s v="EQUIPO ELECTRONICO/COMPUTADORA PORTATIL"/>
    <s v="FKF4CS3"/>
    <s v="LATITUDE 3520"/>
    <s v="DELL"/>
    <m/>
    <m/>
    <n v="1135"/>
    <m/>
    <s v="NEGRO"/>
    <s v="METAL Y PLASTICO"/>
    <s v="361mm x 240.95mm x 18.06mm"/>
    <s v="BUENO"/>
    <s v="S"/>
    <s v="APROBADO"/>
    <n v="6"/>
    <s v="PLATAFORMA GUBERNAMENTAL NORTE PISO 7 TORRE VERDE BODEGA DE INVENTARIOS"/>
    <n v="97459"/>
    <s v="PLATAFORMA GUBERNAMENTAL NORTE"/>
    <n v="1717662512"/>
    <s v="FLORES FLORES JOFFRE FABIAN"/>
    <s v="S"/>
    <s v="DONACION"/>
    <s v="ACTA"/>
    <s v="No Aplica"/>
    <s v="LEGALIZADO"/>
    <s v="S"/>
    <s v="S"/>
    <s v="DONACION LAPTOP (INCLUYE CARGADOR DELL NO INCLUYE DISCO DURO) POR PARTE DE OIM CONFORME ACTA DE DONACIÓN SUSCRITA SERIE FKF4CS3, MODELO LATITUDE 3520, MARCA DELL"/>
    <n v="0"/>
    <x v="3"/>
    <s v="S"/>
    <d v="2025-11-24T00:00:00"/>
    <d v="2025-11-24T00:00:00"/>
    <d v="2026-02-28T00:00:00"/>
    <n v="3"/>
    <d v="2028-11-22T00:00:00"/>
    <n v="1225"/>
    <n v="122.5"/>
    <n v="1127.3399999999999"/>
    <n v="97.66"/>
    <s v="N"/>
  </r>
  <r>
    <n v="40577502"/>
    <s v=""/>
    <s v="700100440001"/>
    <n v="42"/>
    <s v="BLD"/>
    <s v="EQUIPO ELECTRONICO/MONITOR"/>
    <s v="CNC9192TFF"/>
    <s v="ELITEDISPLAY E243D 23,8"/>
    <s v="HP"/>
    <m/>
    <m/>
    <n v="298"/>
    <m/>
    <s v="NEGRO Y GRIS"/>
    <s v="METAL Y PLASTICO"/>
    <s v="23.8 PULGADAS"/>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CNC9192TFF , MODELO ELITEDISPLAY E243D 23,8 MARCA HP"/>
    <n v="0"/>
    <x v="3"/>
    <s v="S"/>
    <d v="2025-11-07T00:00:00"/>
    <d v="2025-11-07T00:00:00"/>
    <d v="2026-02-28T00:00:00"/>
    <n v="1"/>
    <d v="2026-11-06T00:00:00"/>
    <n v="298"/>
    <n v="29.8"/>
    <n v="214.24"/>
    <n v="83.76"/>
    <s v="N"/>
  </r>
  <r>
    <n v="40586878"/>
    <s v=""/>
    <s v="700100960001"/>
    <n v="77"/>
    <s v="BLD"/>
    <s v="EQUIPO ELECTRONICO/AURICULAR"/>
    <s v="2229ER"/>
    <s v="BLACKWIRE 3220-C3220 USB-A"/>
    <s v="PLANTRONICS"/>
    <m/>
    <m/>
    <n v="39.47"/>
    <m/>
    <s v="NEGRO Y ROJO"/>
    <s v="PLASTICO"/>
    <s v="155 X 32 X 178 mm"/>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2229ER, MODELO BLACKWIRE 3220-C3220 USB-A MARCA PLANTRONICS"/>
    <n v="0"/>
    <x v="3"/>
    <s v="S"/>
    <d v="2025-11-11T00:00:00"/>
    <d v="2025-11-11T00:00:00"/>
    <d v="2026-02-28T00:00:00"/>
    <n v="3"/>
    <d v="2028-11-09T00:00:00"/>
    <n v="39.47"/>
    <n v="3.95"/>
    <n v="35.9"/>
    <n v="3.57"/>
    <s v="N"/>
  </r>
  <r>
    <n v="40577682"/>
    <s v=""/>
    <s v="700100440001"/>
    <n v="45"/>
    <s v="BLD"/>
    <s v="EQUIPO ELECTRONICO/MONITOR"/>
    <s v="CNC9341VD6"/>
    <s v="ELITEDISPLAY E243D 23,8"/>
    <s v="HP"/>
    <m/>
    <m/>
    <n v="297"/>
    <m/>
    <s v="NEGRO Y GRIS"/>
    <s v="METAL Y PLASTICO"/>
    <s v="23.8 PULGADAS"/>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CNC9341VD6, MODELO ELITEDISPLAY E243D 23,8 MARCA HP"/>
    <n v="0"/>
    <x v="3"/>
    <s v="S"/>
    <d v="2025-11-07T00:00:00"/>
    <d v="2025-11-07T00:00:00"/>
    <d v="2026-02-28T00:00:00"/>
    <n v="1"/>
    <d v="2026-11-06T00:00:00"/>
    <n v="297"/>
    <n v="29.7"/>
    <n v="213.51"/>
    <n v="83.49"/>
    <s v="N"/>
  </r>
  <r>
    <n v="40565844"/>
    <s v=""/>
    <s v="700100070001"/>
    <n v="33"/>
    <s v="BLD"/>
    <s v="EQUIPO ELECTRONICO/COMPUTADORA PORTATIL"/>
    <s v="SPC1EWQVZ"/>
    <s v="THINKPAD T490"/>
    <s v="LENOVO"/>
    <m/>
    <m/>
    <n v="1183"/>
    <m/>
    <s v="NEGRO"/>
    <s v="PLASTICO"/>
    <s v="329 mm×227 mm×17.9 mm"/>
    <s v="BUENO"/>
    <s v="S"/>
    <s v="APROBADO"/>
    <n v="6"/>
    <s v="PLATAFORMA GUBERNAMENTAL NORTE PISO 7 TORRE VERDE BODEGA DE INVENTARIOS"/>
    <n v="97459"/>
    <s v="PLATAFORMA GUBERNAMENTAL NORTE"/>
    <n v="1717662512"/>
    <s v="FLORES FLORES JOFFRE FABIAN"/>
    <s v="S"/>
    <s v="DONACION"/>
    <s v="ACTA"/>
    <s v="No Aplica"/>
    <s v="LEGALIZADO"/>
    <s v="S"/>
    <s v="S"/>
    <s v="DONACION LAPTOP POR PARTE DE UNHCR ACNUR CONFORME ACTA DE DONACIÓN SUSCRITA SERIE SPC1EWQVZ, MODELO THINKPAD T490, MARCA LENOVO"/>
    <n v="0"/>
    <x v="3"/>
    <s v="S"/>
    <d v="2025-11-06T00:00:00"/>
    <d v="2025-11-06T00:00:00"/>
    <d v="2026-02-28T00:00:00"/>
    <n v="3"/>
    <d v="2028-11-04T00:00:00"/>
    <n v="1183"/>
    <n v="118.3"/>
    <n v="1071.18"/>
    <n v="111.82"/>
    <s v="N"/>
  </r>
  <r>
    <n v="40577676"/>
    <s v=""/>
    <s v="700100440001"/>
    <n v="44"/>
    <s v="BLD"/>
    <s v="EQUIPO ELECTRONICO/MONITOR"/>
    <s v="CNC9341W6T"/>
    <s v="ELITEDISPLAY E243D 23,8"/>
    <s v="HP"/>
    <m/>
    <m/>
    <n v="297"/>
    <m/>
    <s v="NEGRO Y GRIS"/>
    <s v="METAL Y PLASTICO"/>
    <s v="23.8 PULGADAS"/>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CNC9341W6T, MODELO ELITEDISPLAY E243D 23,8 MARCA HP"/>
    <n v="0"/>
    <x v="3"/>
    <s v="S"/>
    <d v="2025-11-07T00:00:00"/>
    <d v="2025-11-07T00:00:00"/>
    <d v="2026-02-28T00:00:00"/>
    <n v="1"/>
    <d v="2026-11-06T00:00:00"/>
    <n v="297"/>
    <n v="29.7"/>
    <n v="213.51"/>
    <n v="83.49"/>
    <s v="N"/>
  </r>
  <r>
    <n v="40581966"/>
    <s v=""/>
    <s v="700100440001"/>
    <n v="53"/>
    <s v="BLD"/>
    <s v="EQUIPO ELECTRONICO/MONITOR"/>
    <s v="CNC9341VDR"/>
    <s v="ELITEDISPLAY E243d 23,8"/>
    <s v="HP"/>
    <m/>
    <m/>
    <n v="297"/>
    <m/>
    <s v="NEGRO Y GRIS"/>
    <s v="PLASTICO"/>
    <s v="23,8 PULGADAS"/>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CNC9341VDR, MODELO ELITEDISPLAY E243D 23,8 MARCA HP"/>
    <n v="0"/>
    <x v="3"/>
    <s v="S"/>
    <d v="2025-11-10T00:00:00"/>
    <d v="2025-11-10T00:00:00"/>
    <d v="2026-02-28T00:00:00"/>
    <n v="3"/>
    <d v="2028-11-08T00:00:00"/>
    <n v="297"/>
    <n v="29.7"/>
    <n v="269.89999999999998"/>
    <n v="27.1"/>
    <s v="N"/>
  </r>
  <r>
    <n v="40581964"/>
    <s v=""/>
    <s v="700100440001"/>
    <n v="52"/>
    <s v="BLD"/>
    <s v="EQUIPO ELECTRONICO/MONITOR"/>
    <s v="CNC9341VDC"/>
    <s v="ELITEDISPLAY E243d 23,8"/>
    <s v="HP"/>
    <m/>
    <m/>
    <n v="297"/>
    <m/>
    <s v="NEGRO Y GRIS"/>
    <s v="PLASTICO"/>
    <s v="23,8 PULGADAS"/>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CNC9341VDC, MODELO ELITEDISPLAY E243D 23,8 MARCA HP"/>
    <n v="0"/>
    <x v="3"/>
    <s v="S"/>
    <d v="2025-11-10T00:00:00"/>
    <d v="2025-11-10T00:00:00"/>
    <d v="2026-02-28T00:00:00"/>
    <n v="3"/>
    <d v="2028-11-08T00:00:00"/>
    <n v="297"/>
    <n v="29.7"/>
    <n v="269.89999999999998"/>
    <n v="27.1"/>
    <s v="N"/>
  </r>
  <r>
    <n v="40582136"/>
    <s v=""/>
    <s v="700100440001"/>
    <n v="56"/>
    <s v="BLD"/>
    <s v="EQUIPO ELECTRONICO/MONITOR"/>
    <s v="CNC9192T80"/>
    <s v="ELITEDISPLAY E243d 23,8"/>
    <s v="HP"/>
    <m/>
    <m/>
    <n v="298"/>
    <m/>
    <s v="NEGRO Y GRIS"/>
    <s v="PLASTICO"/>
    <s v="23,8 PULGADAS"/>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CNC9192T80, MODELO ELITEDISPLAY E243D 23,8 MARCA HP"/>
    <n v="0"/>
    <x v="3"/>
    <s v="S"/>
    <d v="2025-11-10T00:00:00"/>
    <d v="2025-11-10T00:00:00"/>
    <d v="2026-02-28T00:00:00"/>
    <n v="3"/>
    <d v="2028-11-08T00:00:00"/>
    <n v="298"/>
    <n v="29.8"/>
    <n v="270.81"/>
    <n v="27.19"/>
    <s v="N"/>
  </r>
  <r>
    <n v="40631039"/>
    <s v=""/>
    <s v="700100070001"/>
    <n v="115"/>
    <s v="BLD"/>
    <s v="EQUIPO ELECTRONICO/COMPUTADORA PORTATIL"/>
    <s v="B5D4CS3"/>
    <s v="LATITUDE 3520"/>
    <s v="DELL"/>
    <m/>
    <m/>
    <n v="1135"/>
    <m/>
    <s v="NEGRO"/>
    <s v="METAL Y PLASTICO"/>
    <s v="361mm x 240.95mm x 18.06mm"/>
    <s v="BUENO"/>
    <s v="S"/>
    <s v="APROBADO"/>
    <n v="6"/>
    <s v="PLATAFORMA GUBERNAMENTAL NORTE PISO 7 TORRE VERDE BODEGA DE INVENTARIOS"/>
    <n v="97459"/>
    <s v="PLATAFORMA GUBERNAMENTAL NORTE"/>
    <n v="1717662512"/>
    <s v="FLORES FLORES JOFFRE FABIAN"/>
    <s v="S"/>
    <s v="DONACION"/>
    <s v="ACTA"/>
    <s v="No Aplica"/>
    <s v="LEGALIZADO"/>
    <s v="S"/>
    <s v="S"/>
    <s v="DONACION LAPTOP (INCLUYE CARGADOR DELL NO INCLUYE DISCO DURO) POR PARTE DE OIM CONFORME ACTA DE DONACIÓN SUSCRITA SERIE B5D4CS3, MODELO LATITUDE3520, MARCA DELL"/>
    <n v="0"/>
    <x v="3"/>
    <s v="S"/>
    <d v="2025-11-24T00:00:00"/>
    <d v="2025-11-24T00:00:00"/>
    <d v="2026-02-28T00:00:00"/>
    <n v="3"/>
    <d v="2028-11-22T00:00:00"/>
    <n v="1225"/>
    <n v="122.5"/>
    <n v="1127.3399999999999"/>
    <n v="97.66"/>
    <s v="N"/>
  </r>
  <r>
    <n v="40631245"/>
    <s v=""/>
    <s v="700100070001"/>
    <n v="120"/>
    <s v="BLD"/>
    <s v="EQUIPO ELECTRONICO/COMPUTADORA PORTATIL"/>
    <s v="D66ZGS3"/>
    <s v="LATITUDE 3520"/>
    <s v="DELL"/>
    <m/>
    <m/>
    <n v="1135"/>
    <m/>
    <s v="NEGRO"/>
    <s v="METAL Y PLASTICO"/>
    <s v="361mm x 240.95mm x 18.06mm"/>
    <s v="BUENO"/>
    <s v="S"/>
    <s v="APROBADO"/>
    <n v="6"/>
    <s v="PLATAFORMA GUBERNAMENTAL NORTE PISO 7 TORRE VERDE BODEGA DE INVENTARIOS"/>
    <n v="97459"/>
    <s v="PLATAFORMA GUBERNAMENTAL NORTE"/>
    <n v="1717662512"/>
    <s v="FLORES FLORES JOFFRE FABIAN"/>
    <s v="S"/>
    <s v="DONACION"/>
    <s v="ACTA"/>
    <s v="No Aplica"/>
    <s v="LEGALIZADO"/>
    <s v="S"/>
    <s v="S"/>
    <s v="DONACION LAPTOP (INCLUYE CARGADOR DELL NO INCLUYE DISCO DURO) POR PARTE DE OIM CONFORME ACTA DE DONACIÓN SUSCRITA SERIE D66ZGS3, MODELO LATITUDE 3520, MARCA DELL"/>
    <n v="0"/>
    <x v="3"/>
    <s v="S"/>
    <d v="2025-11-24T00:00:00"/>
    <d v="2025-11-24T00:00:00"/>
    <d v="2026-02-28T00:00:00"/>
    <n v="3"/>
    <d v="2028-11-22T00:00:00"/>
    <n v="1225"/>
    <n v="122.5"/>
    <n v="1127.3399999999999"/>
    <n v="97.66"/>
    <s v="N"/>
  </r>
  <r>
    <n v="40631276"/>
    <s v=""/>
    <s v="700100070001"/>
    <n v="122"/>
    <s v="BLD"/>
    <s v="EQUIPO ELECTRONICO/COMPUTADORA PORTATIL"/>
    <s v="5TD4CS3"/>
    <s v="LATITUDE 3520"/>
    <s v="DELL"/>
    <m/>
    <m/>
    <n v="1135"/>
    <m/>
    <s v="NEGRO"/>
    <s v="METAL Y PLASTICO"/>
    <s v="361mm x 240.95mm x 18.06mm"/>
    <s v="BUENO"/>
    <s v="S"/>
    <s v="APROBADO"/>
    <n v="6"/>
    <s v="PLATAFORMA GUBERNAMENTAL NORTE PISO 7 TORRE VERDE BODEGA DE INVENTARIOS"/>
    <n v="97459"/>
    <s v="PLATAFORMA GUBERNAMENTAL NORTE"/>
    <n v="1717662512"/>
    <s v="FLORES FLORES JOFFRE FABIAN"/>
    <s v="S"/>
    <s v="DONACION"/>
    <s v="ACTA"/>
    <s v="No Aplica"/>
    <s v="LEGALIZADO"/>
    <s v="S"/>
    <s v="S"/>
    <s v="DONACION LAPTOP (INCLUYE CARGADOR DELL NO INCLUYE DISCO DURO) POR PARTE DE OIM CONFORME ACTA DE DONACIÓN SUSCRITA SERIE 5TD4CS3, MODELO LATITUDE 3520, MARCA DELL"/>
    <n v="0"/>
    <x v="3"/>
    <s v="S"/>
    <d v="2025-11-24T00:00:00"/>
    <d v="2025-11-24T00:00:00"/>
    <d v="2026-02-28T00:00:00"/>
    <n v="3"/>
    <d v="2028-11-22T00:00:00"/>
    <n v="1225"/>
    <n v="122.5"/>
    <n v="1127.3399999999999"/>
    <n v="97.66"/>
    <s v="N"/>
  </r>
  <r>
    <n v="40588423"/>
    <s v=""/>
    <s v="700100960001"/>
    <n v="79"/>
    <s v="BLD"/>
    <s v="EQUIPO ELECTRONICO/AURICULAR"/>
    <s v="28K11E"/>
    <s v="BLACKWIRE 3220-C3220 USB-A"/>
    <s v="PLANTRONICS"/>
    <m/>
    <m/>
    <n v="39.47"/>
    <m/>
    <s v="NEGRO Y ROJO"/>
    <s v="PLASTICO"/>
    <s v="155 X 32 X 178 mm"/>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28K11E, MODELO BLACKWIRE 3220-C3220 USB-A MARCA PLANTRONICS"/>
    <n v="0"/>
    <x v="3"/>
    <s v="S"/>
    <d v="2025-11-12T00:00:00"/>
    <d v="2025-11-12T00:00:00"/>
    <d v="2026-02-28T00:00:00"/>
    <n v="3"/>
    <d v="2028-11-10T00:00:00"/>
    <n v="39.47"/>
    <n v="3.95"/>
    <n v="35.93"/>
    <n v="3.54"/>
    <s v="N"/>
  </r>
  <r>
    <n v="40586226"/>
    <s v=""/>
    <s v="700100960001"/>
    <n v="73"/>
    <s v="BLD"/>
    <s v="EQUIPO ELECTRONICO/AURICULAR"/>
    <s v="2XAL1E"/>
    <s v="BLACKWIRE 3220-C3220 USB-A"/>
    <s v="PLANTRONICS"/>
    <m/>
    <m/>
    <n v="45.4"/>
    <m/>
    <s v="NEGRO Y ROJO"/>
    <s v="PLASTICO"/>
    <s v="155 X 32 X 178 mm"/>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2XAL1E, MODELO BLACKWIRE 3220-C3220 USB-A MARCA PLANTRONICS"/>
    <n v="0"/>
    <x v="3"/>
    <s v="S"/>
    <d v="2025-11-11T00:00:00"/>
    <d v="2025-11-11T00:00:00"/>
    <d v="2026-02-28T00:00:00"/>
    <n v="3"/>
    <d v="2028-11-09T00:00:00"/>
    <n v="45.4"/>
    <n v="4.54"/>
    <n v="41.3"/>
    <n v="4.0999999999999996"/>
    <s v="N"/>
  </r>
  <r>
    <n v="40577683"/>
    <s v=""/>
    <s v="700100440001"/>
    <n v="46"/>
    <s v="BLD"/>
    <s v="EQUIPO ELECTRONICO/MONITOR"/>
    <s v="CNC9192T95"/>
    <s v="ELITEDISPLAY E243D 23,8"/>
    <s v="HP"/>
    <m/>
    <m/>
    <n v="298"/>
    <m/>
    <s v="NEGRO Y GRIS"/>
    <s v="METAL Y PLASTICO"/>
    <s v="23.8 PULGADAS"/>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CNC9192T95, MODELO ELITEDISPLAY E243D 23,8 MARCA HP"/>
    <n v="0"/>
    <x v="3"/>
    <s v="S"/>
    <d v="2025-11-07T00:00:00"/>
    <d v="2025-11-07T00:00:00"/>
    <d v="2026-02-28T00:00:00"/>
    <n v="1"/>
    <d v="2026-11-06T00:00:00"/>
    <n v="298"/>
    <n v="29.8"/>
    <n v="214.24"/>
    <n v="83.76"/>
    <s v="N"/>
  </r>
  <r>
    <n v="40569086"/>
    <s v=""/>
    <s v="700100070001"/>
    <n v="35"/>
    <s v="BLD"/>
    <s v="EQUIPO ELECTRONICO/COMPUTADORA PORTATIL"/>
    <s v="SPC1EWQWA"/>
    <s v="THINKPAD T490"/>
    <s v="LENOVO"/>
    <m/>
    <m/>
    <n v="1183"/>
    <m/>
    <s v="NEGRO"/>
    <s v="PLASTICO"/>
    <s v="329 mm×227 mm×17.9 mm"/>
    <s v="BUENO"/>
    <s v="S"/>
    <s v="APROBADO"/>
    <n v="6"/>
    <s v="PLATAFORMA GUBERNAMENTAL NORTE PISO 7 TORRE VERDE BODEGA DE INVENTARIOS"/>
    <n v="97459"/>
    <s v="PLATAFORMA GUBERNAMENTAL NORTE"/>
    <n v="1717662512"/>
    <s v="FLORES FLORES JOFFRE FABIAN"/>
    <s v="S"/>
    <s v="DONACION"/>
    <s v="ACTA"/>
    <s v="No Aplica"/>
    <s v="LEGALIZADO"/>
    <s v="S"/>
    <s v="S"/>
    <s v="DONACION LAPTOP POR PARTE DE UNHCR ACNUR CONFORME ACTA DE DONACIÓN SUSCRITA SERIE SPC1EWQWA, MODELO THINKPAD T490, MARCA LENOVO"/>
    <n v="0"/>
    <x v="3"/>
    <s v="S"/>
    <d v="2025-11-07T00:00:00"/>
    <d v="2025-11-07T00:00:00"/>
    <d v="2026-02-28T00:00:00"/>
    <n v="3"/>
    <d v="2028-11-05T00:00:00"/>
    <n v="1183"/>
    <n v="118.3"/>
    <n v="1072.1500000000001"/>
    <n v="110.85"/>
    <s v="N"/>
  </r>
  <r>
    <n v="40581335"/>
    <s v=""/>
    <s v="700100440001"/>
    <n v="51"/>
    <s v="BLD"/>
    <s v="EQUIPO ELECTRONICO/MONITOR"/>
    <s v="CNC9341VDG"/>
    <s v="ELITEDISPLAY E243D 23,8"/>
    <s v="HP"/>
    <m/>
    <m/>
    <n v="297"/>
    <m/>
    <s v="NEGRO Y GRIS"/>
    <s v="PLASTICO"/>
    <s v="23.8 PULGADAS"/>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CNC9341VDG, MODELO ELITEDISPLAY E243D 23,8 MARCA HP"/>
    <n v="0"/>
    <x v="3"/>
    <s v="S"/>
    <d v="2025-11-10T00:00:00"/>
    <d v="2025-11-10T00:00:00"/>
    <d v="2026-02-28T00:00:00"/>
    <n v="3"/>
    <d v="2028-11-08T00:00:00"/>
    <n v="297"/>
    <n v="29.7"/>
    <n v="269.89999999999998"/>
    <n v="27.1"/>
    <s v="N"/>
  </r>
  <r>
    <n v="40570776"/>
    <s v=""/>
    <s v="700100070001"/>
    <n v="36"/>
    <s v="BLD"/>
    <s v="EQUIPO ELECTRONICO/COMPUTADORA PORTATIL"/>
    <s v="PC1FST1V"/>
    <s v="THINKPAD T490"/>
    <s v="LENOVO"/>
    <m/>
    <m/>
    <n v="1133"/>
    <m/>
    <s v="NEGRO"/>
    <s v="PLASTICO"/>
    <s v="329 mm×227 mm×17.9 mm"/>
    <s v="BUENO"/>
    <s v="S"/>
    <s v="APROBADO"/>
    <n v="6"/>
    <s v="PLATAFORMA GUBERNAMENTAL NORTE PISO 7 TORRE VERDE BODEGA DE INVENTARIOS"/>
    <n v="97459"/>
    <s v="PLATAFORMA GUBERNAMENTAL NORTE"/>
    <n v="1717662512"/>
    <s v="FLORES FLORES JOFFRE FABIAN"/>
    <s v="S"/>
    <s v="DONACION"/>
    <s v="ACTA"/>
    <s v="No Aplica"/>
    <s v="LEGALIZADO"/>
    <s v="S"/>
    <s v="S"/>
    <s v="DONACION LAPTOP POR PARTE DE UNHCR ACNUR CONFORME ACTA DE DONACIÓN SUSCRITA SERIE PC1FST1V, MODELO THINKPAD T490, MARCA LENOVO"/>
    <n v="0"/>
    <x v="3"/>
    <s v="S"/>
    <d v="2025-11-07T00:00:00"/>
    <d v="2025-11-07T00:00:00"/>
    <d v="2026-02-28T00:00:00"/>
    <n v="3"/>
    <d v="2028-11-05T00:00:00"/>
    <n v="1133"/>
    <n v="113.3"/>
    <n v="1026.8399999999999"/>
    <n v="106.16"/>
    <s v="N"/>
  </r>
  <r>
    <n v="40582139"/>
    <s v=""/>
    <s v="700100440001"/>
    <n v="57"/>
    <s v="BLD"/>
    <s v="EQUIPO ELECTRONICO/MONITOR"/>
    <s v="CNC9192TFR"/>
    <s v="ELITEDISPLAY E243d 23,8"/>
    <s v="HP"/>
    <m/>
    <m/>
    <n v="298"/>
    <m/>
    <s v="NEGRO Y GRIS"/>
    <s v="PLASTICO"/>
    <s v="23,8 PULGADAS"/>
    <s v="BUENO"/>
    <s v="S"/>
    <s v="APROBADO"/>
    <n v="6"/>
    <s v="PLATAFORMA GUBERNAMENTAL NORTE PISO 7 TORRE VERDE BODEGA DE INVENTARIOS"/>
    <n v="97459"/>
    <s v="PLATAFORMA GUBERNAMENTAL NORTE"/>
    <n v="1717662512"/>
    <s v="FLORES FLORES JOFFRE FABIAN"/>
    <s v="S"/>
    <s v="DONACION"/>
    <s v="ACTA"/>
    <s v="No Aplica"/>
    <s v="LEGALIZADO"/>
    <s v="S"/>
    <s v="S"/>
    <s v="DONACION MONITOR POR PARTE DE UNHCR ACNUR CONFORME ACTA DE DONACIÓN SUSCRITA SERIE CNC9192TFR, MODELO ELITEDISPLAY E243D 23,8 MARCA HP"/>
    <n v="0"/>
    <x v="3"/>
    <s v="S"/>
    <d v="2025-11-10T00:00:00"/>
    <d v="2025-11-10T00:00:00"/>
    <d v="2026-02-28T00:00:00"/>
    <n v="3"/>
    <d v="2028-11-08T00:00:00"/>
    <n v="298"/>
    <n v="29.8"/>
    <n v="270.81"/>
    <n v="27.19"/>
    <s v="N"/>
  </r>
  <r>
    <n v="40808877"/>
    <s v=""/>
    <s v="700100290003"/>
    <n v="125"/>
    <s v="BLD"/>
    <s v="EQUIPO ELECTRONICO/IMPRESORAS/IMPRESORA MULTIFUNCIONES"/>
    <s v="CN51LJH13X"/>
    <s v="HP OfficeJet Pro 9730"/>
    <s v="Hewlett-Packard (HP)"/>
    <m/>
    <m/>
    <n v="351.15"/>
    <m/>
    <s v="BLANCA"/>
    <s v="PLASTICA"/>
    <s v="58.1 cm (ancho) x 46.7 cm (profundidad) x 38.6 cm"/>
    <s v="BUENO"/>
    <s v="S"/>
    <s v="APROBADO"/>
    <n v="6"/>
    <s v="PLATAFORMA GUBERNAMENTAL NORTE PISO 7 TORRE VERDE BODEGA DE INVENTARIOS"/>
    <n v="97459"/>
    <s v="PLATAFORMA GUBERNAMENTAL NORTE"/>
    <n v="401265012"/>
    <s v="GUERRA ASLALEMA DARWIN BAYARDO"/>
    <s v="S"/>
    <s v="COMPRA"/>
    <s v="ACTA"/>
    <n v="429"/>
    <s v="LEGALIZADO"/>
    <s v="S"/>
    <s v="S"/>
    <s v="REGISTRO DE LA COMPRA DE IMPRESORA MULTIFUNCION TINTA COLOR A3 VELOCIDAD IMPRESION DE 30 40 PPM HP OFFICEJET PRO 9730, PARA USO DEL CNIMH, PROVEEDOR SYSCOMPRINT S.A.S"/>
    <n v="840107"/>
    <x v="3"/>
    <s v="S"/>
    <d v="2025-12-08T00:00:00"/>
    <d v="2025-12-09T00:00:00"/>
    <d v="2026-02-28T00:00:00"/>
    <n v="3"/>
    <d v="2028-12-07T00:00:00"/>
    <n v="351.15"/>
    <n v="35.119999999999997"/>
    <n v="327.48"/>
    <n v="23.67"/>
    <s v="N"/>
  </r>
  <r>
    <n v="40809812"/>
    <s v=""/>
    <s v="700100620001"/>
    <n v="126"/>
    <s v="BLD"/>
    <s v="EQUIPO ELECTRONICO/SCANNER"/>
    <s v="CN584B802N"/>
    <s v="HP SCANJET PRO 3000 S4 VELOCIDAD SIMPLE 40-49PPM"/>
    <s v="Hewlett-Packard (HP)"/>
    <m/>
    <m/>
    <n v="290"/>
    <m/>
    <s v="BLANCO"/>
    <s v="PLASTICO"/>
    <s v="30 x 17.2 x 15.4 cm (ancho x profundidad x alto)"/>
    <s v="BUENO"/>
    <s v="S"/>
    <s v="APROBADO"/>
    <n v="6"/>
    <s v="PLATAFORMA GUBERNAMENTAL NORTE PISO 7 TORRE VERDE BODEGA DE INVENTARIOS"/>
    <n v="97459"/>
    <s v="PLATAFORMA GUBERNAMENTAL NORTE"/>
    <n v="401265012"/>
    <s v="GUERRA ASLALEMA DARWIN BAYARDO"/>
    <s v="S"/>
    <s v="COMPRA"/>
    <s v="ACTA"/>
    <n v="428"/>
    <s v="LEGALIZADO"/>
    <s v="S"/>
    <s v="S"/>
    <s v="INGRESO DE LA COMPRA DE HP SCANJET PRO 3000 S4.- VELOCIDAD SIMPLE 40-49PPM, PARA USO DEL CNIMH AL PROVEEDOR TECHCOMPUTER"/>
    <n v="840107"/>
    <x v="3"/>
    <s v="S"/>
    <d v="2025-12-08T00:00:00"/>
    <d v="2025-12-10T00:00:00"/>
    <d v="2026-02-28T00:00:00"/>
    <n v="3"/>
    <d v="2028-12-08T00:00:00"/>
    <n v="290"/>
    <n v="29"/>
    <n v="270.69"/>
    <n v="19.309999999999999"/>
    <s v="N"/>
  </r>
  <r>
    <n v="40614544"/>
    <s v=""/>
    <s v="110101020001"/>
    <n v="102"/>
    <s v="BLD"/>
    <s v="PARTES Y REPUESTOS/TECLADO INHALAMBRICO"/>
    <s v="2010MR364F58"/>
    <s v="K235"/>
    <s v="LOGITECH"/>
    <m/>
    <m/>
    <n v="25.5"/>
    <m/>
    <s v="NEGRO Y GRIS"/>
    <s v="PLASTICO"/>
    <s v="43,55 cm x 13,75 cm x 20,5mm"/>
    <s v="BUENO"/>
    <s v="S"/>
    <s v="APROBADO"/>
    <n v="6"/>
    <s v="PLATAFORMA GUBERNAMENTAL NORTE PISO 7 TORRE VERDE BODEGA DE INVENTARIOS"/>
    <n v="97459"/>
    <s v="PLATAFORMA GUBERNAMENTAL NORTE"/>
    <n v="1717662512"/>
    <s v="FLORES FLORES JOFFRE FABIAN"/>
    <s v="S"/>
    <s v="DONACION"/>
    <s v="ACTA"/>
    <s v="No Aplica"/>
    <s v="LEGALIZADO"/>
    <s v="S"/>
    <s v="S"/>
    <s v="DONACION COMBO TECLADO Y MOUSE INALAMBRICOS POR PARTE DE UNHCR ACNUR CONFORME ACTA DE DONACIÓN SUSCRITA SERIE 2010MR364F58 , MODELO K235 MARCA LOGITECH"/>
    <n v="0"/>
    <x v="4"/>
    <s v="S"/>
    <d v="2025-11-19T00:00:00"/>
    <d v="2025-11-19T00:00:00"/>
    <d v="2026-02-28T00:00:00"/>
    <n v="1"/>
    <d v="2026-11-18T00:00:00"/>
    <n v="25.5"/>
    <n v="2.5499999999999998"/>
    <n v="19.09"/>
    <n v="6.41"/>
    <s v="N"/>
  </r>
  <r>
    <n v="40614812"/>
    <s v=""/>
    <s v="110101020001"/>
    <n v="108"/>
    <s v="BLD"/>
    <s v="PARTES Y REPUESTOS/TECLADO INHALAMBRICO"/>
    <s v="2025MR1C9458"/>
    <s v="K235"/>
    <s v="LOGITECH"/>
    <m/>
    <m/>
    <n v="25.5"/>
    <m/>
    <s v="NEGRO Y GRIS"/>
    <s v="PLASTICO"/>
    <s v="43,55 cm x 13,75 cm x 20,5mm"/>
    <s v="BUENO"/>
    <s v="S"/>
    <s v="APROBADO"/>
    <n v="6"/>
    <s v="PLATAFORMA GUBERNAMENTAL NORTE PISO 7 TORRE VERDE BODEGA DE INVENTARIOS"/>
    <n v="97459"/>
    <s v="PLATAFORMA GUBERNAMENTAL NORTE"/>
    <n v="1717662512"/>
    <s v="FLORES FLORES JOFFRE FABIAN"/>
    <s v="S"/>
    <s v="DONACION"/>
    <s v="ACTA"/>
    <s v="No Aplica"/>
    <s v="LEGALIZADO"/>
    <s v="S"/>
    <s v="S"/>
    <s v="DONACION COMBO TECLADO Y MOUSE INALAMBRICOS POR PARTE DE UNHCR ACNUR CONFORME ACTA DE DONACIÓN SUSCRITA SERIE 2025MR1C9458, MODELO K235 MARCA LOGITECH"/>
    <n v="0"/>
    <x v="4"/>
    <s v="S"/>
    <d v="2025-11-19T00:00:00"/>
    <d v="2025-11-19T00:00:00"/>
    <d v="2026-02-28T00:00:00"/>
    <n v="1"/>
    <d v="2026-11-18T00:00:00"/>
    <n v="25.5"/>
    <n v="2.5499999999999998"/>
    <n v="19.09"/>
    <n v="6.41"/>
    <s v="N"/>
  </r>
  <r>
    <n v="40613868"/>
    <s v=""/>
    <s v="110101020001"/>
    <n v="97"/>
    <s v="BLD"/>
    <s v="PARTES Y REPUESTOS/TECLADO INHALAMBRICO"/>
    <s v="2012MR2B1E18"/>
    <s v="K235"/>
    <s v="LOGITECH"/>
    <m/>
    <m/>
    <n v="25.5"/>
    <m/>
    <s v="NEGRO Y GRIS"/>
    <s v="PLASTICO"/>
    <s v="43,55 cm x 13,75 cm x 20,5mm"/>
    <s v="BUENO"/>
    <s v="S"/>
    <s v="APROBADO"/>
    <n v="6"/>
    <s v="PLATAFORMA GUBERNAMENTAL NORTE PISO 7 TORRE VERDE BODEGA DE INVENTARIOS"/>
    <n v="97459"/>
    <s v="PLATAFORMA GUBERNAMENTAL NORTE"/>
    <n v="1717662512"/>
    <s v="FLORES FLORES JOFFRE FABIAN"/>
    <s v="S"/>
    <s v="DONACION"/>
    <s v="ACTA"/>
    <s v="No Aplica"/>
    <s v="LEGALIZADO"/>
    <s v="S"/>
    <s v="S"/>
    <s v="DONACION COMBO TECLADO Y MOUSE INALAMBRICOS POR PARTE DE UNHCR ACNUR CONFORME ACTA DE DONACIÓN SUSCRITA SERIE 2012MR2B1E18, MODELO K235 MARCA LOGITECH"/>
    <n v="0"/>
    <x v="4"/>
    <s v="S"/>
    <d v="2025-11-19T00:00:00"/>
    <d v="2025-11-19T00:00:00"/>
    <d v="2026-02-28T00:00:00"/>
    <n v="1"/>
    <d v="2026-11-18T00:00:00"/>
    <n v="25.5"/>
    <n v="2.5499999999999998"/>
    <n v="19.09"/>
    <n v="6.41"/>
    <s v="N"/>
  </r>
  <r>
    <n v="40614438"/>
    <s v=""/>
    <s v="110101020001"/>
    <n v="99"/>
    <s v="BLD"/>
    <s v="PARTES Y REPUESTOS/TECLADO INHALAMBRICO"/>
    <s v="2025MR1C95F8"/>
    <s v="K235"/>
    <s v="LOGITECH"/>
    <m/>
    <m/>
    <n v="25.5"/>
    <m/>
    <s v="NEGRO Y GRIS"/>
    <s v="PLASTICO"/>
    <s v="43,55 cm x 13,75 cm x 20,5mm"/>
    <s v="BUENO"/>
    <s v="S"/>
    <s v="APROBADO"/>
    <n v="6"/>
    <s v="PLATAFORMA GUBERNAMENTAL NORTE PISO 7 TORRE VERDE BODEGA DE INVENTARIOS"/>
    <n v="97459"/>
    <s v="PLATAFORMA GUBERNAMENTAL NORTE"/>
    <n v="1722641816"/>
    <s v="ANDA JIMENEZ ANA GABRIELA"/>
    <s v="S"/>
    <s v="DONACION"/>
    <s v="ACTA"/>
    <s v="No Aplica"/>
    <s v="LEGALIZADO"/>
    <s v="S"/>
    <s v="S"/>
    <s v="DONACION COMBO TECLADO Y MOUSE INALAMBRICOS POR PARTE DE UNHCR ACNUR CONFORME ACTA DE DONACIÓN SUSCRITA SERIE 2025MR1C95F8 , MODELO K235 MARCA LOGITECH"/>
    <n v="0"/>
    <x v="4"/>
    <s v="S"/>
    <d v="2025-11-19T00:00:00"/>
    <d v="2025-11-19T00:00:00"/>
    <d v="2026-02-28T00:00:00"/>
    <n v="1"/>
    <d v="2026-11-18T00:00:00"/>
    <n v="25.5"/>
    <n v="2.5499999999999998"/>
    <n v="19.09"/>
    <n v="6.41"/>
    <s v="N"/>
  </r>
  <r>
    <n v="40614478"/>
    <s v=""/>
    <s v="110101020001"/>
    <n v="101"/>
    <s v="BLD"/>
    <s v="PARTES Y REPUESTOS/TECLADO INHALAMBRICO"/>
    <s v="2025MR1C9438"/>
    <s v="K235"/>
    <s v="LOGITECH"/>
    <m/>
    <m/>
    <n v="25.5"/>
    <m/>
    <s v="NEGRO Y GRIS"/>
    <s v="PLASTICO"/>
    <s v="43,55 cm x 13,75 cm x 20,5mm"/>
    <s v="BUENO"/>
    <s v="S"/>
    <s v="APROBADO"/>
    <n v="6"/>
    <s v="PLATAFORMA GUBERNAMENTAL NORTE PISO 7 TORRE VERDE BODEGA DE INVENTARIOS"/>
    <n v="97459"/>
    <s v="PLATAFORMA GUBERNAMENTAL NORTE"/>
    <n v="1717662512"/>
    <s v="FLORES FLORES JOFFRE FABIAN"/>
    <s v="S"/>
    <s v="DONACION"/>
    <s v="ACTA"/>
    <s v="No Aplica"/>
    <s v="LEGALIZADO"/>
    <s v="S"/>
    <s v="S"/>
    <s v="DONACION COMBO TECLADO Y MOUSE INALAMBRICOS POR PARTE DE UNHCR ACNUR CONFORME ACTA DE DONACIÓN SUSCRITA SERIE 2025MR1C9438, MODELO K235 MARCA LOGITECH"/>
    <n v="0"/>
    <x v="4"/>
    <s v="S"/>
    <d v="2025-11-19T00:00:00"/>
    <d v="2025-11-19T00:00:00"/>
    <d v="2026-02-28T00:00:00"/>
    <n v="1"/>
    <d v="2026-11-18T00:00:00"/>
    <n v="25.5"/>
    <n v="2.5499999999999998"/>
    <n v="19.09"/>
    <n v="6.41"/>
    <s v="N"/>
  </r>
  <r>
    <n v="40614810"/>
    <s v=""/>
    <s v="110101020001"/>
    <n v="106"/>
    <s v="BLD"/>
    <s v="PARTES Y REPUESTOS/TECLADO INHALAMBRICO"/>
    <s v="2012MR2B1D48"/>
    <s v="K235"/>
    <s v="LOGITECH"/>
    <m/>
    <m/>
    <n v="25.5"/>
    <m/>
    <s v="NEGRO Y GRIS"/>
    <s v="PLASTICO"/>
    <s v="43,55 cm x 13,75 cm x 20,5mm"/>
    <s v="BUENO"/>
    <s v="S"/>
    <s v="APROBADO"/>
    <n v="6"/>
    <s v="PLATAFORMA GUBERNAMENTAL NORTE PISO 7 TORRE VERDE BODEGA DE INVENTARIOS"/>
    <n v="97459"/>
    <s v="PLATAFORMA GUBERNAMENTAL NORTE"/>
    <n v="1717662512"/>
    <s v="FLORES FLORES JOFFRE FABIAN"/>
    <s v="S"/>
    <s v="DONACION"/>
    <s v="ACTA"/>
    <s v="No Aplica"/>
    <s v="LEGALIZADO"/>
    <s v="S"/>
    <s v="S"/>
    <s v="DONACION COMBO TECLADO Y MOUSE INALAMBRICOS POR PARTE DE UNHCR ACNUR CONFORME ACTA DE DONACIÓN SUSCRITA SERIE 2012MR2B1D48, MODELO K235 MARCA LOGITECH"/>
    <n v="0"/>
    <x v="4"/>
    <s v="S"/>
    <d v="2025-11-19T00:00:00"/>
    <d v="2025-11-19T00:00:00"/>
    <d v="2026-02-28T00:00:00"/>
    <n v="1"/>
    <d v="2026-11-18T00:00:00"/>
    <n v="25.5"/>
    <n v="2.5499999999999998"/>
    <n v="19.09"/>
    <n v="6.41"/>
    <s v="N"/>
  </r>
  <r>
    <n v="40617145"/>
    <s v=""/>
    <s v="110101020001"/>
    <n v="113"/>
    <s v="BLD"/>
    <s v="PARTES Y REPUESTOS/TECLADO INHALAMBRICO"/>
    <s v="2012MR2B1B88"/>
    <s v="K235"/>
    <s v="LOGITECH"/>
    <m/>
    <m/>
    <n v="25.5"/>
    <m/>
    <s v="NEGRO Y GRIS"/>
    <s v="PLASTICO"/>
    <s v="43,55 cm x 13,75 cm x 20,5mm"/>
    <s v="BUENO"/>
    <s v="S"/>
    <s v="APROBADO"/>
    <n v="6"/>
    <s v="PLATAFORMA GUBERNAMENTAL NORTE PISO 7 TORRE VERDE BODEGA DE INVENTARIOS"/>
    <n v="97459"/>
    <s v="PLATAFORMA GUBERNAMENTAL NORTE"/>
    <n v="1717662512"/>
    <s v="FLORES FLORES JOFFRE FABIAN"/>
    <s v="S"/>
    <s v="DONACION"/>
    <s v="ACTA"/>
    <s v="No Aplica"/>
    <s v="LEGALIZADO"/>
    <s v="S"/>
    <s v="S"/>
    <s v="DONACION COMBO TECLADO Y MOUSE INALAMBRICOS POR PARTE DE UNHCR ACNUR CONFORME ACTA DE DONACIÓN SUSCRITA SERIE 2012MR2B1B88, MODELO K235 MARCA LOGITECH"/>
    <n v="0"/>
    <x v="4"/>
    <s v="S"/>
    <d v="2025-11-20T00:00:00"/>
    <d v="2025-11-20T00:00:00"/>
    <d v="2026-02-28T00:00:00"/>
    <n v="1"/>
    <d v="2026-11-19T00:00:00"/>
    <n v="25.5"/>
    <n v="2.5499999999999998"/>
    <n v="19.149999999999999"/>
    <n v="6.35"/>
    <s v="N"/>
  </r>
  <r>
    <n v="40614861"/>
    <s v=""/>
    <s v="110101020001"/>
    <n v="110"/>
    <s v="BLD"/>
    <s v="PARTES Y REPUESTOS/TECLADO INHALAMBRICO"/>
    <s v="2025MR1C8C78"/>
    <s v="K235"/>
    <s v="LOGITECH"/>
    <m/>
    <m/>
    <n v="25.5"/>
    <m/>
    <s v="NEGRO Y GRIS"/>
    <s v="PLASTICO"/>
    <s v="43,55 cm x 13,75 cm x 20,5mm"/>
    <s v="BUENO"/>
    <s v="S"/>
    <s v="APROBADO"/>
    <n v="6"/>
    <s v="PLATAFORMA GUBERNAMENTAL NORTE PISO 7 TORRE VERDE BODEGA DE INVENTARIOS"/>
    <n v="97459"/>
    <s v="PLATAFORMA GUBERNAMENTAL NORTE"/>
    <n v="1717662512"/>
    <s v="FLORES FLORES JOFFRE FABIAN"/>
    <s v="S"/>
    <s v="DONACION"/>
    <s v="ACTA"/>
    <s v="No Aplica"/>
    <s v="LEGALIZADO"/>
    <s v="S"/>
    <s v="S"/>
    <s v="DONACION COMBO TECLADO Y MOUSE INALAMBRICOS POR PARTE DE UNHCR ACNUR CONFORME ACTA DE DONACIÓN SUSCRITA SERIE 2025MR1C8C78, MODELO K235 MARCA LOGITECH"/>
    <n v="0"/>
    <x v="4"/>
    <s v="S"/>
    <d v="2025-11-19T00:00:00"/>
    <d v="2025-11-19T00:00:00"/>
    <d v="2026-02-28T00:00:00"/>
    <n v="1"/>
    <d v="2026-11-18T00:00:00"/>
    <n v="25.5"/>
    <n v="2.5499999999999998"/>
    <n v="19.09"/>
    <n v="6.41"/>
    <s v="N"/>
  </r>
  <r>
    <n v="40614862"/>
    <s v=""/>
    <s v="110101020001"/>
    <n v="111"/>
    <s v="BLD"/>
    <s v="PARTES Y REPUESTOS/TECLADO INHALAMBRICO"/>
    <s v="2025MR1C9628"/>
    <s v="K235"/>
    <s v="LOGITECH"/>
    <m/>
    <m/>
    <n v="25.5"/>
    <m/>
    <s v="NEGRO Y GRIS"/>
    <s v="PLASTICO"/>
    <s v="43,55 cm x 13,75 cm x 20,5mm"/>
    <s v="BUENO"/>
    <s v="S"/>
    <s v="APROBADO"/>
    <n v="6"/>
    <s v="PLATAFORMA GUBERNAMENTAL NORTE PISO 7 TORRE VERDE BODEGA DE INVENTARIOS"/>
    <n v="97459"/>
    <s v="PLATAFORMA GUBERNAMENTAL NORTE"/>
    <n v="1717662512"/>
    <s v="FLORES FLORES JOFFRE FABIAN"/>
    <s v="S"/>
    <s v="DONACION"/>
    <s v="ACTA"/>
    <s v="No Aplica"/>
    <s v="LEGALIZADO"/>
    <s v="S"/>
    <s v="S"/>
    <s v="DONACION COMBO TECLADO Y MOUSE INALAMBRICOS POR PARTE DE UNHCR ACNUR CONFORME ACTA DE DONACIÓN SUSCRITA SERIE 2025MR1C9628, MODELO K235 MARCA LOGITECH"/>
    <n v="0"/>
    <x v="4"/>
    <s v="S"/>
    <d v="2025-11-19T00:00:00"/>
    <d v="2025-11-19T00:00:00"/>
    <d v="2026-02-28T00:00:00"/>
    <n v="1"/>
    <d v="2026-11-18T00:00:00"/>
    <n v="25.5"/>
    <n v="2.5499999999999998"/>
    <n v="19.09"/>
    <n v="6.41"/>
    <s v="N"/>
  </r>
  <r>
    <n v="40614688"/>
    <s v=""/>
    <s v="110101020001"/>
    <n v="105"/>
    <s v="BLD"/>
    <s v="PARTES Y REPUESTOS/TECLADO INHALAMBRICO"/>
    <s v="2056MR1C8D38"/>
    <s v="K235"/>
    <s v="LOGITECH"/>
    <m/>
    <m/>
    <n v="25.5"/>
    <m/>
    <s v="NEGRO Y GRIS"/>
    <s v="PLASTICO"/>
    <s v="43,55 cm x 13,75 cm x 20,5mm"/>
    <s v="BUENO"/>
    <s v="S"/>
    <s v="APROBADO"/>
    <n v="6"/>
    <s v="PLATAFORMA GUBERNAMENTAL NORTE PISO 7 TORRE VERDE BODEGA DE INVENTARIOS"/>
    <n v="97459"/>
    <s v="PLATAFORMA GUBERNAMENTAL NORTE"/>
    <n v="1717662512"/>
    <s v="FLORES FLORES JOFFRE FABIAN"/>
    <s v="S"/>
    <s v="DONACION"/>
    <s v="ACTA"/>
    <s v="No Aplica"/>
    <s v="LEGALIZADO"/>
    <s v="S"/>
    <s v="S"/>
    <s v="DONACION COMBO TECLADO Y MOUSE INALAMBRICOS POR PARTE DE UNHCR ACNUR CONFORME ACTA DE DONACIÓN SUSCRITA SERIE 2056MR1C8D38, MODELO K235 MARCA LOGITECH"/>
    <n v="0"/>
    <x v="4"/>
    <s v="S"/>
    <d v="2025-11-19T00:00:00"/>
    <d v="2025-11-19T00:00:00"/>
    <d v="2026-02-28T00:00:00"/>
    <n v="1"/>
    <d v="2026-11-18T00:00:00"/>
    <n v="25.5"/>
    <n v="2.5499999999999998"/>
    <n v="19.09"/>
    <n v="6.41"/>
    <s v="N"/>
  </r>
  <r>
    <n v="40613914"/>
    <s v=""/>
    <s v="110101020001"/>
    <n v="98"/>
    <s v="BLD"/>
    <s v="PARTES Y REPUESTOS/TECLADO INHALAMBRICO"/>
    <s v="2010MR368ED8"/>
    <s v="K235"/>
    <s v="LOGITECH"/>
    <m/>
    <m/>
    <n v="25.5"/>
    <m/>
    <s v="NEGRO Y GRIS"/>
    <s v="PLASTICO"/>
    <s v="43,55 cm x 13,75 cm x 20,5mm"/>
    <s v="BUENO"/>
    <s v="S"/>
    <s v="APROBADO"/>
    <n v="6"/>
    <s v="PLATAFORMA GUBERNAMENTAL NORTE PISO 7 TORRE VERDE BODEGA DE INVENTARIOS"/>
    <n v="97459"/>
    <s v="PLATAFORMA GUBERNAMENTAL NORTE"/>
    <n v="103542908"/>
    <s v="MACHUCA PALACIOS SONIA VERONICA"/>
    <s v="S"/>
    <s v="DONACION"/>
    <s v="ACTA"/>
    <s v="No Aplica"/>
    <s v="LEGALIZADO"/>
    <s v="S"/>
    <s v="S"/>
    <s v="DONACION COMBO TECLADO Y MOUSE INALAMBRICOS POR PARTE DE UNHCR ACNUR CONFORME ACTA DE DONACIÓN SUSCRITA SERIE 2010MR368ED8, MODELO K235 MARCA LOGITECH"/>
    <n v="0"/>
    <x v="4"/>
    <s v="S"/>
    <d v="2025-11-19T00:00:00"/>
    <d v="2025-11-19T00:00:00"/>
    <d v="2026-02-28T00:00:00"/>
    <n v="1"/>
    <d v="2026-11-18T00:00:00"/>
    <n v="25.5"/>
    <n v="2.5499999999999998"/>
    <n v="19.09"/>
    <n v="6.41"/>
    <s v="N"/>
  </r>
  <r>
    <n v="40617080"/>
    <s v=""/>
    <s v="110101020001"/>
    <n v="112"/>
    <s v="BLD"/>
    <s v="PARTES Y REPUESTOS/TECLADO INHALAMBRICO"/>
    <s v="2010MR368738"/>
    <s v="K235"/>
    <s v="LOGITECH"/>
    <m/>
    <m/>
    <n v="25.5"/>
    <m/>
    <s v="NEGRO Y GRIS"/>
    <s v="PLASTICO"/>
    <s v="43,55 cm x 13,75 cm x 20,5mm"/>
    <s v="BUENO"/>
    <s v="S"/>
    <s v="APROBADO"/>
    <n v="6"/>
    <s v="PLATAFORMA GUBERNAMENTAL NORTE PISO 7 TORRE VERDE BODEGA DE INVENTARIOS"/>
    <n v="97459"/>
    <s v="PLATAFORMA GUBERNAMENTAL NORTE"/>
    <n v="1717662512"/>
    <s v="FLORES FLORES JOFFRE FABIAN"/>
    <s v="S"/>
    <s v="DONACION"/>
    <s v="ACTA"/>
    <s v="No Aplica"/>
    <s v="LEGALIZADO"/>
    <s v="S"/>
    <s v="S"/>
    <s v="DONACION COMBO TECLADO Y MOUSE INALAMBRICOS POR PARTE DE UNHCR ACNUR CONFORME ACTA DE DONACIÓN SUSCRITA SERIE 2010MR368738, MODELO K235 MARCA LOGITECH"/>
    <n v="0"/>
    <x v="4"/>
    <s v="S"/>
    <d v="2025-11-20T00:00:00"/>
    <d v="2025-11-20T00:00:00"/>
    <d v="2026-02-28T00:00:00"/>
    <n v="1"/>
    <d v="2026-11-19T00:00:00"/>
    <n v="25.5"/>
    <n v="2.5499999999999998"/>
    <n v="19.149999999999999"/>
    <n v="6.35"/>
    <s v="N"/>
  </r>
  <r>
    <n v="40617149"/>
    <s v=""/>
    <s v="110101020001"/>
    <n v="114"/>
    <s v="BLD"/>
    <s v="PARTES Y REPUESTOS/TECLADO INHALAMBRICO"/>
    <s v="2012MR2B1E08"/>
    <s v="K235"/>
    <s v="LOGITECH"/>
    <m/>
    <m/>
    <n v="25.5"/>
    <m/>
    <s v="NEGRO Y GRIS"/>
    <s v="PLASTICO"/>
    <s v="43,55 cm x 13,75 cm x 20,5mm"/>
    <s v="BUENO"/>
    <s v="S"/>
    <s v="APROBADO"/>
    <n v="6"/>
    <s v="PLATAFORMA GUBERNAMENTAL NORTE PISO 7 TORRE VERDE BODEGA DE INVENTARIOS"/>
    <n v="97459"/>
    <s v="PLATAFORMA GUBERNAMENTAL NORTE"/>
    <n v="1717662512"/>
    <s v="FLORES FLORES JOFFRE FABIAN"/>
    <s v="S"/>
    <s v="DONACION"/>
    <s v="ACTA"/>
    <s v="No Aplica"/>
    <s v="LEGALIZADO"/>
    <s v="S"/>
    <s v="S"/>
    <s v="DONACION COMBO TECLADO Y MOUSE INALAMBRICOS POR PARTE DE UNHCR ACNUR CONFORME ACTA DE DONACIÓN SUSCRITA SERIE 2012MR2B1E08, MODELO K235 MARCA LOGITECH"/>
    <n v="0"/>
    <x v="4"/>
    <s v="S"/>
    <d v="2025-11-20T00:00:00"/>
    <d v="2025-11-20T00:00:00"/>
    <d v="2026-02-28T00:00:00"/>
    <n v="1"/>
    <d v="2026-11-19T00:00:00"/>
    <n v="25.5"/>
    <n v="2.5499999999999998"/>
    <n v="19.149999999999999"/>
    <n v="6.35"/>
    <s v="N"/>
  </r>
  <r>
    <n v="40614687"/>
    <s v=""/>
    <s v="110101020001"/>
    <n v="104"/>
    <s v="BLD"/>
    <s v="PARTES Y REPUESTOS/TECLADO INHALAMBRICO"/>
    <s v="2010MR369968"/>
    <s v="K235"/>
    <s v="LOGITECH"/>
    <m/>
    <m/>
    <n v="25.5"/>
    <m/>
    <s v="NEGRO Y GRIS"/>
    <s v="PLASTICO"/>
    <s v="43,55 cm x 13,75 cm x 20,5mm"/>
    <s v="BUENO"/>
    <s v="S"/>
    <s v="APROBADO"/>
    <n v="6"/>
    <s v="PLATAFORMA GUBERNAMENTAL NORTE PISO 7 TORRE VERDE BODEGA DE INVENTARIOS"/>
    <n v="97459"/>
    <s v="PLATAFORMA GUBERNAMENTAL NORTE"/>
    <n v="1717662512"/>
    <s v="FLORES FLORES JOFFRE FABIAN"/>
    <s v="S"/>
    <s v="DONACION"/>
    <s v="ACTA"/>
    <s v="No Aplica"/>
    <s v="LEGALIZADO"/>
    <s v="S"/>
    <s v="S"/>
    <s v="DONACION COMBO TECLADO Y MOUSE INALAMBRICOS POR PARTE DE UNHCR ACNUR CONFORME ACTA DE DONACIÓN SUSCRITA SERIE 2010MR369968 , MODELO K235 MARCA LOGITECH"/>
    <n v="0"/>
    <x v="4"/>
    <s v="S"/>
    <d v="2025-11-19T00:00:00"/>
    <d v="2025-11-19T00:00:00"/>
    <d v="2026-02-28T00:00:00"/>
    <n v="1"/>
    <d v="2026-11-18T00:00:00"/>
    <n v="25.5"/>
    <n v="2.5499999999999998"/>
    <n v="19.09"/>
    <n v="6.41"/>
    <s v="N"/>
  </r>
  <r>
    <n v="40614813"/>
    <s v=""/>
    <s v="110101020001"/>
    <n v="109"/>
    <s v="BLD"/>
    <s v="PARTES Y REPUESTOS/TECLADO INHALAMBRICO"/>
    <s v="2012MR2B48F8"/>
    <s v="K235"/>
    <s v="LOGITECH"/>
    <m/>
    <m/>
    <n v="25.5"/>
    <m/>
    <s v="NEGRO Y GRIS"/>
    <s v="PLASTICO"/>
    <s v="43,55 cm x 13,75 cm x 20,5mm"/>
    <s v="BUENO"/>
    <s v="S"/>
    <s v="APROBADO"/>
    <n v="6"/>
    <s v="PLATAFORMA GUBERNAMENTAL NORTE PISO 7 TORRE VERDE BODEGA DE INVENTARIOS"/>
    <n v="97459"/>
    <s v="PLATAFORMA GUBERNAMENTAL NORTE"/>
    <n v="1717662512"/>
    <s v="FLORES FLORES JOFFRE FABIAN"/>
    <s v="S"/>
    <s v="DONACION"/>
    <s v="ACTA"/>
    <s v="No Aplica"/>
    <s v="LEGALIZADO"/>
    <s v="S"/>
    <s v="S"/>
    <s v="DONACION COMBO TECLADO Y MOUSE INALAMBRICOS POR PARTE DE UNHCR ACNUR CONFORME ACTA DE DONACIÓN SUSCRITA SERIE 2012MR2B48F8, MODELO K235 MARCA LOGITECH"/>
    <n v="0"/>
    <x v="4"/>
    <s v="S"/>
    <d v="2025-11-19T00:00:00"/>
    <d v="2025-11-19T00:00:00"/>
    <d v="2026-02-28T00:00:00"/>
    <n v="1"/>
    <d v="2026-11-18T00:00:00"/>
    <n v="25.5"/>
    <n v="2.5499999999999998"/>
    <n v="19.09"/>
    <n v="6.41"/>
    <s v="N"/>
  </r>
  <r>
    <n v="40614449"/>
    <s v=""/>
    <s v="110101020001"/>
    <n v="100"/>
    <s v="BLD"/>
    <s v="PARTES Y REPUESTOS/TECLADO INHALAMBRICO"/>
    <s v="2025MR1C8DB8"/>
    <s v="K235"/>
    <s v="LOGITECH"/>
    <m/>
    <m/>
    <n v="25.5"/>
    <m/>
    <s v="NEGRO Y GRIS"/>
    <s v="PLASTICO"/>
    <s v="43,55 cm x 13,75 cm x 20,5mm"/>
    <s v="BUENO"/>
    <s v="S"/>
    <s v="APROBADO"/>
    <n v="6"/>
    <s v="PLATAFORMA GUBERNAMENTAL NORTE PISO 7 TORRE VERDE BODEGA DE INVENTARIOS"/>
    <n v="97459"/>
    <s v="PLATAFORMA GUBERNAMENTAL NORTE"/>
    <n v="1717662512"/>
    <s v="FLORES FLORES JOFFRE FABIAN"/>
    <s v="S"/>
    <s v="DONACION"/>
    <s v="ACTA"/>
    <s v="No Aplica"/>
    <s v="LEGALIZADO"/>
    <s v="S"/>
    <s v="S"/>
    <s v="DONACION COMBO TECLADO Y MOUSE INALAMBRICOS POR PARTE DE UNHCR ACNUR CONFORME ACTA DE DONACIÓN SUSCRITA SERIE 2025MR1C8DB8, MODELO K235 MARCA LOGITECH"/>
    <n v="0"/>
    <x v="4"/>
    <s v="S"/>
    <d v="2025-11-19T00:00:00"/>
    <d v="2025-11-19T00:00:00"/>
    <d v="2026-02-28T00:00:00"/>
    <n v="1"/>
    <d v="2026-11-18T00:00:00"/>
    <n v="25.5"/>
    <n v="2.5499999999999998"/>
    <n v="19.09"/>
    <n v="6.41"/>
    <s v="N"/>
  </r>
  <r>
    <n v="40614673"/>
    <s v=""/>
    <s v="110101020001"/>
    <n v="103"/>
    <s v="BLD"/>
    <s v="PARTES Y REPUESTOS/TECLADO INHALAMBRICO"/>
    <s v="2025MR1C8DD8"/>
    <s v="K235"/>
    <s v="LOGITECH"/>
    <m/>
    <m/>
    <n v="25.5"/>
    <m/>
    <s v="NEGRO Y GRIS"/>
    <s v="PLASTICO"/>
    <s v="43,55 cm x 13,75 cm x 20,5mm"/>
    <s v="BUENO"/>
    <s v="S"/>
    <s v="APROBADO"/>
    <n v="6"/>
    <s v="PLATAFORMA GUBERNAMENTAL NORTE PISO 7 TORRE VERDE BODEGA DE INVENTARIOS"/>
    <n v="97459"/>
    <s v="PLATAFORMA GUBERNAMENTAL NORTE"/>
    <n v="1717662512"/>
    <s v="FLORES FLORES JOFFRE FABIAN"/>
    <s v="S"/>
    <s v="DONACION"/>
    <s v="ACTA"/>
    <s v="No Aplica"/>
    <s v="LEGALIZADO"/>
    <s v="S"/>
    <s v="S"/>
    <s v="DONACION COMBO TECLADO Y MOUSE INALAMBRICOS POR PARTE DE UNHCR ACNUR CONFORME ACTA DE DONACIÓN SUSCRITA SERIE 2025MR1C8DD8, MODELO K235 MARCA LOGITECH"/>
    <n v="0"/>
    <x v="4"/>
    <s v="S"/>
    <d v="2025-11-19T00:00:00"/>
    <d v="2025-11-19T00:00:00"/>
    <d v="2026-02-28T00:00:00"/>
    <n v="1"/>
    <d v="2026-11-18T00:00:00"/>
    <n v="25.5"/>
    <n v="2.5499999999999998"/>
    <n v="19.09"/>
    <n v="6.41"/>
    <s v="N"/>
  </r>
  <r>
    <n v="40614811"/>
    <s v=""/>
    <s v="110101020001"/>
    <n v="107"/>
    <s v="BLD"/>
    <s v="PARTES Y REPUESTOS/TECLADO INHALAMBRICO"/>
    <s v="2012MR2B1D28"/>
    <s v="K235"/>
    <s v="LOGITECH"/>
    <m/>
    <m/>
    <n v="25.5"/>
    <m/>
    <s v="NEGRO Y GRIS"/>
    <s v="PLASTICO"/>
    <s v="43,55 cm x 13,75 cm x 20,5mm"/>
    <s v="BUENO"/>
    <s v="S"/>
    <s v="APROBADO"/>
    <n v="6"/>
    <s v="PLATAFORMA GUBERNAMENTAL NORTE PISO 7 TORRE VERDE BODEGA DE INVENTARIOS"/>
    <n v="97459"/>
    <s v="PLATAFORMA GUBERNAMENTAL NORTE"/>
    <n v="1717662512"/>
    <s v="FLORES FLORES JOFFRE FABIAN"/>
    <s v="S"/>
    <s v="DONACION"/>
    <s v="ACTA"/>
    <s v="No Aplica"/>
    <s v="LEGALIZADO"/>
    <s v="S"/>
    <s v="S"/>
    <s v="DONACION COMBO TECLADO Y MOUSE INALAMBRICOS POR PARTE DE UNHCR ACNUR CONFORME ACTA DE DONACIÓN SUSCRITA SERIE 2012MR2B1D28, MODELO K235 MARCA LOGITECH"/>
    <n v="0"/>
    <x v="4"/>
    <s v="S"/>
    <d v="2025-11-19T00:00:00"/>
    <d v="2025-11-19T00:00:00"/>
    <d v="2026-02-28T00:00:00"/>
    <n v="1"/>
    <d v="2026-11-18T00:00:00"/>
    <n v="25.5"/>
    <n v="2.5499999999999998"/>
    <n v="19.09"/>
    <n v="6.41"/>
    <s v="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16AAF54-2963-4ECC-8F36-7FE8083774BA}" name="TablaDinámica4" cacheId="8"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9" firstHeaderRow="1" firstDataRow="1" firstDataCol="1"/>
  <pivotFields count="46">
    <pivotField showAll="0"/>
    <pivotField showAll="0"/>
    <pivotField showAll="0"/>
    <pivotField showAll="0"/>
    <pivotField showAll="0"/>
    <pivotField showAll="0"/>
    <pivotField showAll="0"/>
    <pivotField showAll="0"/>
    <pivotField showAll="0"/>
    <pivotField showAll="0"/>
    <pivotField showAll="0"/>
    <pivotField numFmtId="4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
        <item x="1"/>
        <item x="2"/>
        <item x="3"/>
        <item x="4"/>
        <item x="0"/>
        <item t="default"/>
      </items>
    </pivotField>
    <pivotField showAll="0"/>
    <pivotField numFmtId="22" showAll="0"/>
    <pivotField numFmtId="14" showAll="0"/>
    <pivotField showAll="0"/>
    <pivotField showAll="0"/>
    <pivotField showAll="0"/>
    <pivotField dataField="1" numFmtId="44" showAll="0"/>
    <pivotField numFmtId="44" showAll="0"/>
    <pivotField numFmtId="44" showAll="0"/>
    <pivotField numFmtId="44" showAll="0"/>
    <pivotField showAll="0"/>
  </pivotFields>
  <rowFields count="1">
    <field x="34"/>
  </rowFields>
  <rowItems count="6">
    <i>
      <x/>
    </i>
    <i>
      <x v="1"/>
    </i>
    <i>
      <x v="2"/>
    </i>
    <i>
      <x v="3"/>
    </i>
    <i>
      <x v="4"/>
    </i>
    <i t="grand">
      <x/>
    </i>
  </rowItems>
  <colItems count="1">
    <i/>
  </colItems>
  <dataFields count="1">
    <dataField name="Suma de Valor Contable" fld="41" baseField="0" baseItem="0"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E2902-51A1-4FE2-955E-D6ECB9EB51FA}">
  <dimension ref="A1:AT239"/>
  <sheetViews>
    <sheetView showGridLines="0" workbookViewId="0">
      <selection sqref="A1:F1"/>
    </sheetView>
  </sheetViews>
  <sheetFormatPr baseColWidth="10" defaultRowHeight="15" x14ac:dyDescent="0.25"/>
  <cols>
    <col min="1" max="2" width="14.42578125" bestFit="1" customWidth="1"/>
    <col min="3" max="3" width="12" bestFit="1" customWidth="1"/>
    <col min="4" max="4" width="23.42578125" bestFit="1" customWidth="1"/>
    <col min="5" max="5" width="12.5703125" bestFit="1" customWidth="1"/>
    <col min="6" max="6" width="43.5703125" bestFit="1" customWidth="1"/>
    <col min="7" max="7" width="18.5703125" bestFit="1" customWidth="1"/>
    <col min="8" max="8" width="43.5703125" bestFit="1" customWidth="1"/>
    <col min="9" max="9" width="11.85546875" bestFit="1" customWidth="1"/>
    <col min="10" max="10" width="6.85546875" bestFit="1" customWidth="1"/>
    <col min="11" max="11" width="7.7109375" bestFit="1" customWidth="1"/>
    <col min="12" max="12" width="15.140625" bestFit="1" customWidth="1"/>
    <col min="13" max="13" width="9.5703125" bestFit="1" customWidth="1"/>
    <col min="14" max="14" width="38.28515625" bestFit="1" customWidth="1"/>
    <col min="15" max="16" width="43.5703125" bestFit="1" customWidth="1"/>
    <col min="17" max="17" width="17.28515625" bestFit="1" customWidth="1"/>
    <col min="18" max="18" width="9.85546875" bestFit="1" customWidth="1"/>
    <col min="19" max="19" width="11" bestFit="1" customWidth="1"/>
    <col min="20" max="20" width="9.28515625" bestFit="1" customWidth="1"/>
    <col min="21" max="21" width="43.5703125" bestFit="1" customWidth="1"/>
    <col min="22" max="22" width="11.42578125" bestFit="1" customWidth="1"/>
    <col min="23" max="23" width="33.85546875" bestFit="1" customWidth="1"/>
    <col min="24" max="24" width="18.28515625" bestFit="1" customWidth="1"/>
    <col min="25" max="25" width="37.85546875" bestFit="1" customWidth="1"/>
    <col min="26" max="26" width="14.5703125" bestFit="1" customWidth="1"/>
    <col min="27" max="27" width="16.7109375" bestFit="1" customWidth="1"/>
    <col min="28" max="28" width="14" bestFit="1" customWidth="1"/>
    <col min="29" max="29" width="18.42578125" bestFit="1" customWidth="1"/>
    <col min="30" max="30" width="14" bestFit="1" customWidth="1"/>
    <col min="31" max="31" width="20.28515625" bestFit="1" customWidth="1"/>
    <col min="32" max="32" width="20.42578125" bestFit="1" customWidth="1"/>
    <col min="33" max="33" width="43.5703125" bestFit="1" customWidth="1"/>
    <col min="34" max="34" width="13.140625" bestFit="1" customWidth="1"/>
    <col min="35" max="35" width="15.5703125" bestFit="1" customWidth="1"/>
    <col min="36" max="36" width="11.42578125" bestFit="1" customWidth="1"/>
    <col min="37" max="37" width="16.85546875" bestFit="1" customWidth="1"/>
    <col min="38" max="38" width="15.5703125" bestFit="1" customWidth="1"/>
    <col min="39" max="39" width="24.140625" bestFit="1" customWidth="1"/>
    <col min="40" max="40" width="8" bestFit="1" customWidth="1"/>
    <col min="41" max="41" width="25.7109375" bestFit="1" customWidth="1"/>
    <col min="42" max="42" width="13.5703125" bestFit="1" customWidth="1"/>
    <col min="43" max="43" width="13.140625" bestFit="1" customWidth="1"/>
    <col min="44" max="44" width="13.5703125" bestFit="1" customWidth="1"/>
    <col min="45" max="45" width="27.42578125" bestFit="1" customWidth="1"/>
    <col min="46" max="46" width="9.85546875" bestFit="1" customWidth="1"/>
  </cols>
  <sheetData>
    <row r="1" spans="1:46" s="1" customFormat="1" ht="15.6" customHeight="1" x14ac:dyDescent="0.25">
      <c r="A1" s="17" t="s">
        <v>0</v>
      </c>
      <c r="B1" s="18"/>
      <c r="C1" s="18"/>
      <c r="D1" s="18"/>
      <c r="E1" s="18"/>
      <c r="F1" s="19"/>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8"/>
    </row>
    <row r="2" spans="1:46" s="2" customFormat="1" ht="30" x14ac:dyDescent="0.25">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c r="T2" s="3" t="s">
        <v>20</v>
      </c>
      <c r="U2" s="3" t="s">
        <v>21</v>
      </c>
      <c r="V2" s="3" t="s">
        <v>22</v>
      </c>
      <c r="W2" s="3" t="s">
        <v>23</v>
      </c>
      <c r="X2" s="3" t="s">
        <v>24</v>
      </c>
      <c r="Y2" s="3" t="s">
        <v>25</v>
      </c>
      <c r="Z2" s="3" t="s">
        <v>26</v>
      </c>
      <c r="AA2" s="3" t="s">
        <v>27</v>
      </c>
      <c r="AB2" s="3" t="s">
        <v>28</v>
      </c>
      <c r="AC2" s="3" t="s">
        <v>29</v>
      </c>
      <c r="AD2" s="3" t="s">
        <v>30</v>
      </c>
      <c r="AE2" s="3" t="s">
        <v>31</v>
      </c>
      <c r="AF2" s="3" t="s">
        <v>32</v>
      </c>
      <c r="AG2" s="3" t="s">
        <v>33</v>
      </c>
      <c r="AH2" s="3" t="s">
        <v>34</v>
      </c>
      <c r="AI2" s="3" t="s">
        <v>35</v>
      </c>
      <c r="AJ2" s="3" t="s">
        <v>36</v>
      </c>
      <c r="AK2" s="3" t="s">
        <v>37</v>
      </c>
      <c r="AL2" s="3" t="s">
        <v>38</v>
      </c>
      <c r="AM2" s="3" t="s">
        <v>39</v>
      </c>
      <c r="AN2" s="3" t="s">
        <v>40</v>
      </c>
      <c r="AO2" s="3" t="s">
        <v>41</v>
      </c>
      <c r="AP2" s="3" t="s">
        <v>42</v>
      </c>
      <c r="AQ2" s="3" t="s">
        <v>43</v>
      </c>
      <c r="AR2" s="3" t="s">
        <v>44</v>
      </c>
      <c r="AS2" s="3" t="s">
        <v>45</v>
      </c>
      <c r="AT2" s="3" t="s">
        <v>46</v>
      </c>
    </row>
    <row r="3" spans="1:46" ht="195" x14ac:dyDescent="0.25">
      <c r="A3" s="4">
        <v>24309157</v>
      </c>
      <c r="B3" s="4" t="str">
        <f>""</f>
        <v/>
      </c>
      <c r="C3" s="4" t="str">
        <f>"170800470001"</f>
        <v>170800470001</v>
      </c>
      <c r="D3" s="4">
        <v>4</v>
      </c>
      <c r="E3" s="4" t="s">
        <v>47</v>
      </c>
      <c r="F3" s="4" t="s">
        <v>48</v>
      </c>
      <c r="G3" s="4" t="str">
        <f>"24309157"</f>
        <v>24309157</v>
      </c>
      <c r="H3" s="4" t="str">
        <f>"BANDERA INSTITUCIONAL CON ASTA MADERA / TERMINADO FORRADAS CON FLECO AL RUEDO Y CINTAS PARA SUJETA"</f>
        <v>BANDERA INSTITUCIONAL CON ASTA MADERA / TERMINADO FORRADAS CON FLECO AL RUEDO Y CINTAS PARA SUJETA</v>
      </c>
      <c r="I3" s="4" t="str">
        <f>"TERCIOPELO SHIFON CON ESCUDO BORDADO A MANO A UNA SOLA CARA CON HILO DE SEDA Y DORADOS METALIZADOS"</f>
        <v>TERCIOPELO SHIFON CON ESCUDO BORDADO A MANO A UNA SOLA CARA CON HILO DE SEDA Y DORADOS METALIZADOS</v>
      </c>
      <c r="J3" s="4" t="s">
        <v>49</v>
      </c>
      <c r="K3" s="4"/>
      <c r="L3" s="4" t="s">
        <v>50</v>
      </c>
      <c r="M3" s="4" t="s">
        <v>49</v>
      </c>
      <c r="N3" s="4" t="s">
        <v>51</v>
      </c>
      <c r="O3" s="4" t="s">
        <v>52</v>
      </c>
      <c r="P3" s="4" t="s">
        <v>53</v>
      </c>
      <c r="Q3" s="4" t="s">
        <v>54</v>
      </c>
      <c r="R3" s="4" t="s">
        <v>55</v>
      </c>
      <c r="S3" s="4" t="s">
        <v>56</v>
      </c>
      <c r="T3" s="4">
        <v>6</v>
      </c>
      <c r="U3" s="4" t="s">
        <v>57</v>
      </c>
      <c r="V3" s="4">
        <v>97459</v>
      </c>
      <c r="W3" s="4" t="s">
        <v>58</v>
      </c>
      <c r="X3" s="4">
        <v>102936168</v>
      </c>
      <c r="Y3" s="4" t="s">
        <v>59</v>
      </c>
      <c r="Z3" s="4" t="s">
        <v>55</v>
      </c>
      <c r="AA3" s="4" t="s">
        <v>60</v>
      </c>
      <c r="AB3" s="4" t="s">
        <v>61</v>
      </c>
      <c r="AC3" s="4">
        <v>365</v>
      </c>
      <c r="AD3" s="4" t="s">
        <v>62</v>
      </c>
      <c r="AE3" s="4" t="s">
        <v>55</v>
      </c>
      <c r="AF3" s="4" t="s">
        <v>55</v>
      </c>
      <c r="AG3" s="4" t="s">
        <v>63</v>
      </c>
      <c r="AH3" s="4">
        <v>531408</v>
      </c>
      <c r="AI3" s="4" t="s">
        <v>64</v>
      </c>
      <c r="AJ3" s="4" t="s">
        <v>49</v>
      </c>
      <c r="AK3" s="5">
        <v>43328</v>
      </c>
      <c r="AL3" s="6">
        <v>43334</v>
      </c>
      <c r="AM3" s="6">
        <v>43334</v>
      </c>
      <c r="AN3" s="4">
        <v>0</v>
      </c>
      <c r="AO3" s="4"/>
      <c r="AP3" s="4" t="s">
        <v>50</v>
      </c>
      <c r="AQ3" s="4">
        <v>0</v>
      </c>
      <c r="AR3" s="4" t="s">
        <v>50</v>
      </c>
      <c r="AS3" s="4">
        <v>0</v>
      </c>
      <c r="AT3" s="4" t="s">
        <v>49</v>
      </c>
    </row>
    <row r="4" spans="1:46" ht="195" x14ac:dyDescent="0.25">
      <c r="A4" s="4">
        <v>24309158</v>
      </c>
      <c r="B4" s="4" t="str">
        <f>""</f>
        <v/>
      </c>
      <c r="C4" s="4" t="str">
        <f>"170800470001"</f>
        <v>170800470001</v>
      </c>
      <c r="D4" s="4">
        <v>4</v>
      </c>
      <c r="E4" s="4" t="s">
        <v>47</v>
      </c>
      <c r="F4" s="4" t="s">
        <v>48</v>
      </c>
      <c r="G4" s="4" t="str">
        <f>"24309158"</f>
        <v>24309158</v>
      </c>
      <c r="H4" s="4" t="str">
        <f>"BANDERA NACIONAL CON SU ASTA RESPECTIVA / TERMINADO FORRADAS CON FLECO AL RUEDO Y CINTAS PARA SUJETA"</f>
        <v>BANDERA NACIONAL CON SU ASTA RESPECTIVA / TERMINADO FORRADAS CON FLECO AL RUEDO Y CINTAS PARA SUJETA</v>
      </c>
      <c r="I4" s="4" t="str">
        <f>"TERCIOPELO SHIFON CON ESCUDO BORDADO A MANO A UNA SOLA CARA CON HILO DE SEDA Y DORADOS METALIZADOS"</f>
        <v>TERCIOPELO SHIFON CON ESCUDO BORDADO A MANO A UNA SOLA CARA CON HILO DE SEDA Y DORADOS METALIZADOS</v>
      </c>
      <c r="J4" s="4" t="s">
        <v>49</v>
      </c>
      <c r="K4" s="4"/>
      <c r="L4" s="4" t="s">
        <v>50</v>
      </c>
      <c r="M4" s="4" t="s">
        <v>49</v>
      </c>
      <c r="N4" s="4" t="s">
        <v>65</v>
      </c>
      <c r="O4" s="4" t="s">
        <v>52</v>
      </c>
      <c r="P4" s="4" t="s">
        <v>66</v>
      </c>
      <c r="Q4" s="4" t="s">
        <v>54</v>
      </c>
      <c r="R4" s="4" t="s">
        <v>55</v>
      </c>
      <c r="S4" s="4" t="s">
        <v>56</v>
      </c>
      <c r="T4" s="4">
        <v>6</v>
      </c>
      <c r="U4" s="4" t="s">
        <v>57</v>
      </c>
      <c r="V4" s="4">
        <v>97459</v>
      </c>
      <c r="W4" s="4" t="s">
        <v>58</v>
      </c>
      <c r="X4" s="4">
        <v>102936168</v>
      </c>
      <c r="Y4" s="4" t="s">
        <v>59</v>
      </c>
      <c r="Z4" s="4" t="s">
        <v>55</v>
      </c>
      <c r="AA4" s="4" t="s">
        <v>60</v>
      </c>
      <c r="AB4" s="4" t="s">
        <v>61</v>
      </c>
      <c r="AC4" s="4">
        <v>365</v>
      </c>
      <c r="AD4" s="4" t="s">
        <v>62</v>
      </c>
      <c r="AE4" s="4" t="s">
        <v>55</v>
      </c>
      <c r="AF4" s="4" t="s">
        <v>55</v>
      </c>
      <c r="AG4" s="4" t="s">
        <v>63</v>
      </c>
      <c r="AH4" s="4">
        <v>531408</v>
      </c>
      <c r="AI4" s="4" t="s">
        <v>64</v>
      </c>
      <c r="AJ4" s="4" t="s">
        <v>49</v>
      </c>
      <c r="AK4" s="5">
        <v>43328</v>
      </c>
      <c r="AL4" s="6">
        <v>43334</v>
      </c>
      <c r="AM4" s="6">
        <v>43334</v>
      </c>
      <c r="AN4" s="4">
        <v>0</v>
      </c>
      <c r="AO4" s="4"/>
      <c r="AP4" s="4" t="s">
        <v>50</v>
      </c>
      <c r="AQ4" s="4">
        <v>0</v>
      </c>
      <c r="AR4" s="4" t="s">
        <v>50</v>
      </c>
      <c r="AS4" s="4">
        <v>0</v>
      </c>
      <c r="AT4" s="4" t="s">
        <v>49</v>
      </c>
    </row>
    <row r="5" spans="1:46" ht="30" x14ac:dyDescent="0.25">
      <c r="A5" s="4">
        <v>20852983</v>
      </c>
      <c r="B5" s="4" t="str">
        <f>""</f>
        <v/>
      </c>
      <c r="C5" s="4" t="str">
        <f>"170400540001"</f>
        <v>170400540001</v>
      </c>
      <c r="D5" s="4">
        <v>1</v>
      </c>
      <c r="E5" s="4" t="s">
        <v>47</v>
      </c>
      <c r="F5" s="4" t="s">
        <v>67</v>
      </c>
      <c r="G5" s="4" t="str">
        <f>"20852983"</f>
        <v>20852983</v>
      </c>
      <c r="H5" s="4" t="str">
        <f>"ESPIRALADORA METALICA 2109"</f>
        <v>ESPIRALADORA METALICA 2109</v>
      </c>
      <c r="I5" s="4" t="str">
        <f>"IMGRAF"</f>
        <v>IMGRAF</v>
      </c>
      <c r="J5" s="4" t="s">
        <v>49</v>
      </c>
      <c r="K5" s="4"/>
      <c r="L5" s="4">
        <v>120</v>
      </c>
      <c r="M5" s="4" t="s">
        <v>49</v>
      </c>
      <c r="N5" s="4" t="s">
        <v>68</v>
      </c>
      <c r="O5" s="4" t="s">
        <v>69</v>
      </c>
      <c r="P5" s="4" t="s">
        <v>70</v>
      </c>
      <c r="Q5" s="4" t="s">
        <v>54</v>
      </c>
      <c r="R5" s="4" t="s">
        <v>55</v>
      </c>
      <c r="S5" s="4" t="s">
        <v>56</v>
      </c>
      <c r="T5" s="4">
        <v>6</v>
      </c>
      <c r="U5" s="4" t="s">
        <v>57</v>
      </c>
      <c r="V5" s="4">
        <v>97459</v>
      </c>
      <c r="W5" s="4" t="s">
        <v>58</v>
      </c>
      <c r="X5" s="4">
        <v>1717662512</v>
      </c>
      <c r="Y5" s="4" t="s">
        <v>71</v>
      </c>
      <c r="Z5" s="4" t="s">
        <v>55</v>
      </c>
      <c r="AA5" s="4" t="s">
        <v>72</v>
      </c>
      <c r="AB5" s="4" t="s">
        <v>61</v>
      </c>
      <c r="AC5" s="4" t="s">
        <v>73</v>
      </c>
      <c r="AD5" s="4" t="s">
        <v>62</v>
      </c>
      <c r="AE5" s="4" t="s">
        <v>55</v>
      </c>
      <c r="AF5" s="4" t="s">
        <v>55</v>
      </c>
      <c r="AG5" s="4" t="s">
        <v>74</v>
      </c>
      <c r="AH5" s="4">
        <v>0</v>
      </c>
      <c r="AI5" s="4" t="s">
        <v>64</v>
      </c>
      <c r="AJ5" s="4" t="s">
        <v>49</v>
      </c>
      <c r="AK5" s="5">
        <v>43131</v>
      </c>
      <c r="AL5" s="6">
        <v>43082</v>
      </c>
      <c r="AM5" s="4"/>
      <c r="AN5" s="4">
        <v>0</v>
      </c>
      <c r="AO5" s="4"/>
      <c r="AP5" s="4">
        <v>120</v>
      </c>
      <c r="AQ5" s="4">
        <v>0</v>
      </c>
      <c r="AR5" s="4">
        <v>120</v>
      </c>
      <c r="AS5" s="4">
        <v>0</v>
      </c>
      <c r="AT5" s="4" t="s">
        <v>49</v>
      </c>
    </row>
    <row r="6" spans="1:46" ht="30" x14ac:dyDescent="0.25">
      <c r="A6" s="4">
        <v>20852984</v>
      </c>
      <c r="B6" s="4" t="str">
        <f>""</f>
        <v/>
      </c>
      <c r="C6" s="4" t="str">
        <f>"170400640001"</f>
        <v>170400640001</v>
      </c>
      <c r="D6" s="4">
        <v>1</v>
      </c>
      <c r="E6" s="4" t="s">
        <v>47</v>
      </c>
      <c r="F6" s="4" t="s">
        <v>75</v>
      </c>
      <c r="G6" s="4" t="str">
        <f>"20852984"</f>
        <v>20852984</v>
      </c>
      <c r="H6" s="4" t="str">
        <f>"GUILLOTINA TAMAÑO A4"</f>
        <v>GUILLOTINA TAMAÑO A4</v>
      </c>
      <c r="I6" s="4" t="str">
        <f>"PAPER CUTTER"</f>
        <v>PAPER CUTTER</v>
      </c>
      <c r="J6" s="4" t="s">
        <v>49</v>
      </c>
      <c r="K6" s="4"/>
      <c r="L6" s="4">
        <v>29</v>
      </c>
      <c r="M6" s="4" t="s">
        <v>49</v>
      </c>
      <c r="N6" s="4" t="s">
        <v>76</v>
      </c>
      <c r="O6" s="4" t="s">
        <v>77</v>
      </c>
      <c r="P6" s="4" t="s">
        <v>78</v>
      </c>
      <c r="Q6" s="4" t="s">
        <v>54</v>
      </c>
      <c r="R6" s="4" t="s">
        <v>55</v>
      </c>
      <c r="S6" s="4" t="s">
        <v>56</v>
      </c>
      <c r="T6" s="4">
        <v>6</v>
      </c>
      <c r="U6" s="4" t="s">
        <v>57</v>
      </c>
      <c r="V6" s="4">
        <v>97459</v>
      </c>
      <c r="W6" s="4" t="s">
        <v>58</v>
      </c>
      <c r="X6" s="4">
        <v>1717662512</v>
      </c>
      <c r="Y6" s="4" t="s">
        <v>71</v>
      </c>
      <c r="Z6" s="4" t="s">
        <v>55</v>
      </c>
      <c r="AA6" s="4" t="s">
        <v>72</v>
      </c>
      <c r="AB6" s="4" t="s">
        <v>61</v>
      </c>
      <c r="AC6" s="4" t="s">
        <v>73</v>
      </c>
      <c r="AD6" s="4" t="s">
        <v>62</v>
      </c>
      <c r="AE6" s="4" t="s">
        <v>55</v>
      </c>
      <c r="AF6" s="4" t="s">
        <v>55</v>
      </c>
      <c r="AG6" s="4" t="s">
        <v>74</v>
      </c>
      <c r="AH6" s="4">
        <v>0</v>
      </c>
      <c r="AI6" s="4" t="s">
        <v>64</v>
      </c>
      <c r="AJ6" s="4" t="s">
        <v>49</v>
      </c>
      <c r="AK6" s="5">
        <v>43131</v>
      </c>
      <c r="AL6" s="6">
        <v>43082</v>
      </c>
      <c r="AM6" s="4"/>
      <c r="AN6" s="4">
        <v>0</v>
      </c>
      <c r="AO6" s="4"/>
      <c r="AP6" s="4">
        <v>29</v>
      </c>
      <c r="AQ6" s="4">
        <v>0</v>
      </c>
      <c r="AR6" s="4">
        <v>29</v>
      </c>
      <c r="AS6" s="4">
        <v>0</v>
      </c>
      <c r="AT6" s="4" t="s">
        <v>49</v>
      </c>
    </row>
    <row r="7" spans="1:46" ht="150" x14ac:dyDescent="0.25">
      <c r="A7" s="4">
        <v>29027941</v>
      </c>
      <c r="B7" s="4" t="str">
        <f>""</f>
        <v/>
      </c>
      <c r="C7" s="4" t="str">
        <f t="shared" ref="C7:C17" si="0">"170700200001"</f>
        <v>170700200001</v>
      </c>
      <c r="D7" s="4">
        <v>5</v>
      </c>
      <c r="E7" s="4" t="s">
        <v>47</v>
      </c>
      <c r="F7" s="4" t="s">
        <v>79</v>
      </c>
      <c r="G7" s="4" t="str">
        <f>"29027941"</f>
        <v>29027941</v>
      </c>
      <c r="H7" s="4" t="str">
        <f t="shared" ref="H7:H17" si="1">"TECLADO + MOUSE INALAMBRICOS CON BATERIAS /2.4 GHZ CON NANO RECEPTOR USB"</f>
        <v>TECLADO + MOUSE INALAMBRICOS CON BATERIAS /2.4 GHZ CON NANO RECEPTOR USB</v>
      </c>
      <c r="I7" s="4" t="str">
        <f t="shared" ref="I7:I17" si="2">"LOGITECH MK WIRELES / PROTOCOLO NO UNIFYING CON RADIO DE ACCION DE 10 METROS"</f>
        <v>LOGITECH MK WIRELES / PROTOCOLO NO UNIFYING CON RADIO DE ACCION DE 10 METROS</v>
      </c>
      <c r="J7" s="4" t="s">
        <v>49</v>
      </c>
      <c r="K7" s="4"/>
      <c r="L7" s="4" t="s">
        <v>80</v>
      </c>
      <c r="M7" s="4" t="s">
        <v>49</v>
      </c>
      <c r="N7" s="4" t="s">
        <v>81</v>
      </c>
      <c r="O7" s="4" t="s">
        <v>82</v>
      </c>
      <c r="P7" s="4" t="s">
        <v>83</v>
      </c>
      <c r="Q7" s="4" t="s">
        <v>54</v>
      </c>
      <c r="R7" s="4" t="s">
        <v>55</v>
      </c>
      <c r="S7" s="4" t="s">
        <v>56</v>
      </c>
      <c r="T7" s="4">
        <v>6</v>
      </c>
      <c r="U7" s="4" t="s">
        <v>57</v>
      </c>
      <c r="V7" s="4">
        <v>97459</v>
      </c>
      <c r="W7" s="4" t="s">
        <v>58</v>
      </c>
      <c r="X7" s="4">
        <v>1717662512</v>
      </c>
      <c r="Y7" s="4" t="s">
        <v>71</v>
      </c>
      <c r="Z7" s="4" t="s">
        <v>55</v>
      </c>
      <c r="AA7" s="4" t="s">
        <v>60</v>
      </c>
      <c r="AB7" s="4" t="s">
        <v>61</v>
      </c>
      <c r="AC7" s="4">
        <v>587</v>
      </c>
      <c r="AD7" s="4" t="s">
        <v>62</v>
      </c>
      <c r="AE7" s="4" t="s">
        <v>55</v>
      </c>
      <c r="AF7" s="4" t="s">
        <v>55</v>
      </c>
      <c r="AG7" s="4" t="s">
        <v>84</v>
      </c>
      <c r="AH7" s="4">
        <v>531407</v>
      </c>
      <c r="AI7" s="4" t="s">
        <v>64</v>
      </c>
      <c r="AJ7" s="4" t="s">
        <v>49</v>
      </c>
      <c r="AK7" s="5">
        <v>43753</v>
      </c>
      <c r="AL7" s="6">
        <v>43768</v>
      </c>
      <c r="AM7" s="6">
        <v>43768</v>
      </c>
      <c r="AN7" s="4">
        <v>0</v>
      </c>
      <c r="AO7" s="4"/>
      <c r="AP7" s="4" t="s">
        <v>80</v>
      </c>
      <c r="AQ7" s="4">
        <v>0</v>
      </c>
      <c r="AR7" s="4" t="s">
        <v>80</v>
      </c>
      <c r="AS7" s="4">
        <v>0</v>
      </c>
      <c r="AT7" s="4" t="s">
        <v>49</v>
      </c>
    </row>
    <row r="8" spans="1:46" ht="150" x14ac:dyDescent="0.25">
      <c r="A8" s="4">
        <v>29027942</v>
      </c>
      <c r="B8" s="4" t="str">
        <f>""</f>
        <v/>
      </c>
      <c r="C8" s="4" t="str">
        <f t="shared" si="0"/>
        <v>170700200001</v>
      </c>
      <c r="D8" s="4">
        <v>5</v>
      </c>
      <c r="E8" s="4" t="s">
        <v>47</v>
      </c>
      <c r="F8" s="4" t="s">
        <v>79</v>
      </c>
      <c r="G8" s="4" t="str">
        <f>"29027942"</f>
        <v>29027942</v>
      </c>
      <c r="H8" s="4" t="str">
        <f t="shared" si="1"/>
        <v>TECLADO + MOUSE INALAMBRICOS CON BATERIAS /2.4 GHZ CON NANO RECEPTOR USB</v>
      </c>
      <c r="I8" s="4" t="str">
        <f t="shared" si="2"/>
        <v>LOGITECH MK WIRELES / PROTOCOLO NO UNIFYING CON RADIO DE ACCION DE 10 METROS</v>
      </c>
      <c r="J8" s="4" t="s">
        <v>49</v>
      </c>
      <c r="K8" s="4"/>
      <c r="L8" s="4" t="s">
        <v>85</v>
      </c>
      <c r="M8" s="4" t="s">
        <v>49</v>
      </c>
      <c r="N8" s="4" t="s">
        <v>81</v>
      </c>
      <c r="O8" s="4" t="s">
        <v>82</v>
      </c>
      <c r="P8" s="4" t="s">
        <v>83</v>
      </c>
      <c r="Q8" s="4" t="s">
        <v>54</v>
      </c>
      <c r="R8" s="4" t="s">
        <v>55</v>
      </c>
      <c r="S8" s="4" t="s">
        <v>56</v>
      </c>
      <c r="T8" s="4">
        <v>6</v>
      </c>
      <c r="U8" s="4" t="s">
        <v>57</v>
      </c>
      <c r="V8" s="4">
        <v>97459</v>
      </c>
      <c r="W8" s="4" t="s">
        <v>58</v>
      </c>
      <c r="X8" s="4">
        <v>1717662512</v>
      </c>
      <c r="Y8" s="4" t="s">
        <v>71</v>
      </c>
      <c r="Z8" s="4" t="s">
        <v>55</v>
      </c>
      <c r="AA8" s="4" t="s">
        <v>60</v>
      </c>
      <c r="AB8" s="4" t="s">
        <v>61</v>
      </c>
      <c r="AC8" s="4">
        <v>587</v>
      </c>
      <c r="AD8" s="4" t="s">
        <v>62</v>
      </c>
      <c r="AE8" s="4" t="s">
        <v>55</v>
      </c>
      <c r="AF8" s="4" t="s">
        <v>55</v>
      </c>
      <c r="AG8" s="4" t="s">
        <v>84</v>
      </c>
      <c r="AH8" s="4">
        <v>531407</v>
      </c>
      <c r="AI8" s="4" t="s">
        <v>64</v>
      </c>
      <c r="AJ8" s="4" t="s">
        <v>49</v>
      </c>
      <c r="AK8" s="5">
        <v>43753</v>
      </c>
      <c r="AL8" s="6">
        <v>43768</v>
      </c>
      <c r="AM8" s="6">
        <v>43768</v>
      </c>
      <c r="AN8" s="4">
        <v>0</v>
      </c>
      <c r="AO8" s="4"/>
      <c r="AP8" s="4" t="s">
        <v>85</v>
      </c>
      <c r="AQ8" s="4">
        <v>0</v>
      </c>
      <c r="AR8" s="4" t="s">
        <v>85</v>
      </c>
      <c r="AS8" s="4">
        <v>0</v>
      </c>
      <c r="AT8" s="4" t="s">
        <v>49</v>
      </c>
    </row>
    <row r="9" spans="1:46" ht="150" x14ac:dyDescent="0.25">
      <c r="A9" s="4">
        <v>29027943</v>
      </c>
      <c r="B9" s="4" t="str">
        <f>""</f>
        <v/>
      </c>
      <c r="C9" s="4" t="str">
        <f t="shared" si="0"/>
        <v>170700200001</v>
      </c>
      <c r="D9" s="4">
        <v>5</v>
      </c>
      <c r="E9" s="4" t="s">
        <v>47</v>
      </c>
      <c r="F9" s="4" t="s">
        <v>79</v>
      </c>
      <c r="G9" s="4" t="str">
        <f>"29027943"</f>
        <v>29027943</v>
      </c>
      <c r="H9" s="4" t="str">
        <f t="shared" si="1"/>
        <v>TECLADO + MOUSE INALAMBRICOS CON BATERIAS /2.4 GHZ CON NANO RECEPTOR USB</v>
      </c>
      <c r="I9" s="4" t="str">
        <f t="shared" si="2"/>
        <v>LOGITECH MK WIRELES / PROTOCOLO NO UNIFYING CON RADIO DE ACCION DE 10 METROS</v>
      </c>
      <c r="J9" s="4" t="s">
        <v>49</v>
      </c>
      <c r="K9" s="4"/>
      <c r="L9" s="4" t="s">
        <v>85</v>
      </c>
      <c r="M9" s="4" t="s">
        <v>49</v>
      </c>
      <c r="N9" s="4" t="s">
        <v>81</v>
      </c>
      <c r="O9" s="4" t="s">
        <v>82</v>
      </c>
      <c r="P9" s="4" t="s">
        <v>83</v>
      </c>
      <c r="Q9" s="4" t="s">
        <v>54</v>
      </c>
      <c r="R9" s="4" t="s">
        <v>55</v>
      </c>
      <c r="S9" s="4" t="s">
        <v>56</v>
      </c>
      <c r="T9" s="4">
        <v>6</v>
      </c>
      <c r="U9" s="4" t="s">
        <v>57</v>
      </c>
      <c r="V9" s="4">
        <v>97459</v>
      </c>
      <c r="W9" s="4" t="s">
        <v>58</v>
      </c>
      <c r="X9" s="4">
        <v>1716349814</v>
      </c>
      <c r="Y9" s="4" t="s">
        <v>86</v>
      </c>
      <c r="Z9" s="4" t="s">
        <v>55</v>
      </c>
      <c r="AA9" s="4" t="s">
        <v>60</v>
      </c>
      <c r="AB9" s="4" t="s">
        <v>61</v>
      </c>
      <c r="AC9" s="4">
        <v>587</v>
      </c>
      <c r="AD9" s="4" t="s">
        <v>62</v>
      </c>
      <c r="AE9" s="4" t="s">
        <v>55</v>
      </c>
      <c r="AF9" s="4" t="s">
        <v>55</v>
      </c>
      <c r="AG9" s="4" t="s">
        <v>84</v>
      </c>
      <c r="AH9" s="4">
        <v>531407</v>
      </c>
      <c r="AI9" s="4" t="s">
        <v>64</v>
      </c>
      <c r="AJ9" s="4" t="s">
        <v>49</v>
      </c>
      <c r="AK9" s="5">
        <v>43753</v>
      </c>
      <c r="AL9" s="6">
        <v>43768</v>
      </c>
      <c r="AM9" s="6">
        <v>43768</v>
      </c>
      <c r="AN9" s="4">
        <v>0</v>
      </c>
      <c r="AO9" s="4"/>
      <c r="AP9" s="4" t="s">
        <v>85</v>
      </c>
      <c r="AQ9" s="4">
        <v>0</v>
      </c>
      <c r="AR9" s="4" t="s">
        <v>85</v>
      </c>
      <c r="AS9" s="4">
        <v>0</v>
      </c>
      <c r="AT9" s="4" t="s">
        <v>49</v>
      </c>
    </row>
    <row r="10" spans="1:46" ht="150" x14ac:dyDescent="0.25">
      <c r="A10" s="4">
        <v>29027944</v>
      </c>
      <c r="B10" s="4" t="str">
        <f>""</f>
        <v/>
      </c>
      <c r="C10" s="4" t="str">
        <f t="shared" si="0"/>
        <v>170700200001</v>
      </c>
      <c r="D10" s="4">
        <v>5</v>
      </c>
      <c r="E10" s="4" t="s">
        <v>47</v>
      </c>
      <c r="F10" s="4" t="s">
        <v>79</v>
      </c>
      <c r="G10" s="4" t="str">
        <f>"29027944"</f>
        <v>29027944</v>
      </c>
      <c r="H10" s="4" t="str">
        <f t="shared" si="1"/>
        <v>TECLADO + MOUSE INALAMBRICOS CON BATERIAS /2.4 GHZ CON NANO RECEPTOR USB</v>
      </c>
      <c r="I10" s="4" t="str">
        <f t="shared" si="2"/>
        <v>LOGITECH MK WIRELES / PROTOCOLO NO UNIFYING CON RADIO DE ACCION DE 10 METROS</v>
      </c>
      <c r="J10" s="4" t="s">
        <v>49</v>
      </c>
      <c r="K10" s="4"/>
      <c r="L10" s="4" t="s">
        <v>85</v>
      </c>
      <c r="M10" s="4" t="s">
        <v>49</v>
      </c>
      <c r="N10" s="4" t="s">
        <v>81</v>
      </c>
      <c r="O10" s="4" t="s">
        <v>82</v>
      </c>
      <c r="P10" s="4" t="s">
        <v>83</v>
      </c>
      <c r="Q10" s="4" t="s">
        <v>54</v>
      </c>
      <c r="R10" s="4" t="s">
        <v>55</v>
      </c>
      <c r="S10" s="4" t="s">
        <v>56</v>
      </c>
      <c r="T10" s="4">
        <v>6</v>
      </c>
      <c r="U10" s="4" t="s">
        <v>57</v>
      </c>
      <c r="V10" s="4">
        <v>97459</v>
      </c>
      <c r="W10" s="4" t="s">
        <v>58</v>
      </c>
      <c r="X10" s="4">
        <v>1709459232</v>
      </c>
      <c r="Y10" s="4" t="s">
        <v>87</v>
      </c>
      <c r="Z10" s="4" t="s">
        <v>55</v>
      </c>
      <c r="AA10" s="4" t="s">
        <v>60</v>
      </c>
      <c r="AB10" s="4" t="s">
        <v>61</v>
      </c>
      <c r="AC10" s="4">
        <v>587</v>
      </c>
      <c r="AD10" s="4" t="s">
        <v>62</v>
      </c>
      <c r="AE10" s="4" t="s">
        <v>55</v>
      </c>
      <c r="AF10" s="4" t="s">
        <v>55</v>
      </c>
      <c r="AG10" s="4" t="s">
        <v>84</v>
      </c>
      <c r="AH10" s="4">
        <v>531407</v>
      </c>
      <c r="AI10" s="4" t="s">
        <v>64</v>
      </c>
      <c r="AJ10" s="4" t="s">
        <v>49</v>
      </c>
      <c r="AK10" s="5">
        <v>43753</v>
      </c>
      <c r="AL10" s="6">
        <v>43768</v>
      </c>
      <c r="AM10" s="6">
        <v>43768</v>
      </c>
      <c r="AN10" s="4">
        <v>0</v>
      </c>
      <c r="AO10" s="4"/>
      <c r="AP10" s="4" t="s">
        <v>85</v>
      </c>
      <c r="AQ10" s="4">
        <v>0</v>
      </c>
      <c r="AR10" s="4" t="s">
        <v>85</v>
      </c>
      <c r="AS10" s="4">
        <v>0</v>
      </c>
      <c r="AT10" s="4" t="s">
        <v>49</v>
      </c>
    </row>
    <row r="11" spans="1:46" ht="150" x14ac:dyDescent="0.25">
      <c r="A11" s="4">
        <v>29027945</v>
      </c>
      <c r="B11" s="4" t="str">
        <f>""</f>
        <v/>
      </c>
      <c r="C11" s="4" t="str">
        <f t="shared" si="0"/>
        <v>170700200001</v>
      </c>
      <c r="D11" s="4">
        <v>5</v>
      </c>
      <c r="E11" s="4" t="s">
        <v>47</v>
      </c>
      <c r="F11" s="4" t="s">
        <v>79</v>
      </c>
      <c r="G11" s="4" t="str">
        <f>"29027945"</f>
        <v>29027945</v>
      </c>
      <c r="H11" s="4" t="str">
        <f t="shared" si="1"/>
        <v>TECLADO + MOUSE INALAMBRICOS CON BATERIAS /2.4 GHZ CON NANO RECEPTOR USB</v>
      </c>
      <c r="I11" s="4" t="str">
        <f t="shared" si="2"/>
        <v>LOGITECH MK WIRELES / PROTOCOLO NO UNIFYING CON RADIO DE ACCION DE 10 METROS</v>
      </c>
      <c r="J11" s="4" t="s">
        <v>49</v>
      </c>
      <c r="K11" s="4"/>
      <c r="L11" s="4" t="s">
        <v>85</v>
      </c>
      <c r="M11" s="4" t="s">
        <v>49</v>
      </c>
      <c r="N11" s="4" t="s">
        <v>81</v>
      </c>
      <c r="O11" s="4" t="s">
        <v>82</v>
      </c>
      <c r="P11" s="4" t="s">
        <v>83</v>
      </c>
      <c r="Q11" s="4" t="s">
        <v>54</v>
      </c>
      <c r="R11" s="4" t="s">
        <v>55</v>
      </c>
      <c r="S11" s="4" t="s">
        <v>56</v>
      </c>
      <c r="T11" s="4">
        <v>6</v>
      </c>
      <c r="U11" s="4" t="s">
        <v>57</v>
      </c>
      <c r="V11" s="4">
        <v>97459</v>
      </c>
      <c r="W11" s="4" t="s">
        <v>58</v>
      </c>
      <c r="X11" s="4">
        <v>1717662512</v>
      </c>
      <c r="Y11" s="4" t="s">
        <v>71</v>
      </c>
      <c r="Z11" s="4" t="s">
        <v>55</v>
      </c>
      <c r="AA11" s="4" t="s">
        <v>60</v>
      </c>
      <c r="AB11" s="4" t="s">
        <v>61</v>
      </c>
      <c r="AC11" s="4">
        <v>587</v>
      </c>
      <c r="AD11" s="4" t="s">
        <v>62</v>
      </c>
      <c r="AE11" s="4" t="s">
        <v>55</v>
      </c>
      <c r="AF11" s="4" t="s">
        <v>55</v>
      </c>
      <c r="AG11" s="4" t="s">
        <v>84</v>
      </c>
      <c r="AH11" s="4">
        <v>531407</v>
      </c>
      <c r="AI11" s="4" t="s">
        <v>64</v>
      </c>
      <c r="AJ11" s="4" t="s">
        <v>49</v>
      </c>
      <c r="AK11" s="5">
        <v>43753</v>
      </c>
      <c r="AL11" s="6">
        <v>43768</v>
      </c>
      <c r="AM11" s="6">
        <v>43768</v>
      </c>
      <c r="AN11" s="4">
        <v>0</v>
      </c>
      <c r="AO11" s="4"/>
      <c r="AP11" s="4" t="s">
        <v>85</v>
      </c>
      <c r="AQ11" s="4">
        <v>0</v>
      </c>
      <c r="AR11" s="4" t="s">
        <v>85</v>
      </c>
      <c r="AS11" s="4">
        <v>0</v>
      </c>
      <c r="AT11" s="4" t="s">
        <v>49</v>
      </c>
    </row>
    <row r="12" spans="1:46" ht="150" x14ac:dyDescent="0.25">
      <c r="A12" s="4">
        <v>29027946</v>
      </c>
      <c r="B12" s="4" t="str">
        <f>""</f>
        <v/>
      </c>
      <c r="C12" s="4" t="str">
        <f t="shared" si="0"/>
        <v>170700200001</v>
      </c>
      <c r="D12" s="4">
        <v>5</v>
      </c>
      <c r="E12" s="4" t="s">
        <v>47</v>
      </c>
      <c r="F12" s="4" t="s">
        <v>79</v>
      </c>
      <c r="G12" s="4" t="str">
        <f>"29027946"</f>
        <v>29027946</v>
      </c>
      <c r="H12" s="4" t="str">
        <f t="shared" si="1"/>
        <v>TECLADO + MOUSE INALAMBRICOS CON BATERIAS /2.4 GHZ CON NANO RECEPTOR USB</v>
      </c>
      <c r="I12" s="4" t="str">
        <f t="shared" si="2"/>
        <v>LOGITECH MK WIRELES / PROTOCOLO NO UNIFYING CON RADIO DE ACCION DE 10 METROS</v>
      </c>
      <c r="J12" s="4" t="s">
        <v>49</v>
      </c>
      <c r="K12" s="4"/>
      <c r="L12" s="4" t="s">
        <v>85</v>
      </c>
      <c r="M12" s="4" t="s">
        <v>49</v>
      </c>
      <c r="N12" s="4" t="s">
        <v>81</v>
      </c>
      <c r="O12" s="4" t="s">
        <v>82</v>
      </c>
      <c r="P12" s="4" t="s">
        <v>83</v>
      </c>
      <c r="Q12" s="4" t="s">
        <v>54</v>
      </c>
      <c r="R12" s="4" t="s">
        <v>55</v>
      </c>
      <c r="S12" s="4" t="s">
        <v>56</v>
      </c>
      <c r="T12" s="4">
        <v>6</v>
      </c>
      <c r="U12" s="4" t="s">
        <v>57</v>
      </c>
      <c r="V12" s="4">
        <v>97459</v>
      </c>
      <c r="W12" s="4" t="s">
        <v>58</v>
      </c>
      <c r="X12" s="4">
        <v>1717662512</v>
      </c>
      <c r="Y12" s="4" t="s">
        <v>71</v>
      </c>
      <c r="Z12" s="4" t="s">
        <v>55</v>
      </c>
      <c r="AA12" s="4" t="s">
        <v>60</v>
      </c>
      <c r="AB12" s="4" t="s">
        <v>61</v>
      </c>
      <c r="AC12" s="4">
        <v>587</v>
      </c>
      <c r="AD12" s="4" t="s">
        <v>62</v>
      </c>
      <c r="AE12" s="4" t="s">
        <v>55</v>
      </c>
      <c r="AF12" s="4" t="s">
        <v>55</v>
      </c>
      <c r="AG12" s="4" t="s">
        <v>84</v>
      </c>
      <c r="AH12" s="4">
        <v>531407</v>
      </c>
      <c r="AI12" s="4" t="s">
        <v>64</v>
      </c>
      <c r="AJ12" s="4" t="s">
        <v>49</v>
      </c>
      <c r="AK12" s="5">
        <v>43753</v>
      </c>
      <c r="AL12" s="6">
        <v>43760</v>
      </c>
      <c r="AM12" s="4"/>
      <c r="AN12" s="4">
        <v>0</v>
      </c>
      <c r="AO12" s="4"/>
      <c r="AP12" s="4" t="s">
        <v>85</v>
      </c>
      <c r="AQ12" s="4">
        <v>0</v>
      </c>
      <c r="AR12" s="4" t="s">
        <v>85</v>
      </c>
      <c r="AS12" s="4">
        <v>0</v>
      </c>
      <c r="AT12" s="4" t="s">
        <v>49</v>
      </c>
    </row>
    <row r="13" spans="1:46" ht="150" x14ac:dyDescent="0.25">
      <c r="A13" s="4">
        <v>29027947</v>
      </c>
      <c r="B13" s="4" t="str">
        <f>""</f>
        <v/>
      </c>
      <c r="C13" s="4" t="str">
        <f t="shared" si="0"/>
        <v>170700200001</v>
      </c>
      <c r="D13" s="4">
        <v>5</v>
      </c>
      <c r="E13" s="4" t="s">
        <v>47</v>
      </c>
      <c r="F13" s="4" t="s">
        <v>79</v>
      </c>
      <c r="G13" s="4" t="str">
        <f>"29027947"</f>
        <v>29027947</v>
      </c>
      <c r="H13" s="4" t="str">
        <f t="shared" si="1"/>
        <v>TECLADO + MOUSE INALAMBRICOS CON BATERIAS /2.4 GHZ CON NANO RECEPTOR USB</v>
      </c>
      <c r="I13" s="4" t="str">
        <f t="shared" si="2"/>
        <v>LOGITECH MK WIRELES / PROTOCOLO NO UNIFYING CON RADIO DE ACCION DE 10 METROS</v>
      </c>
      <c r="J13" s="4" t="s">
        <v>49</v>
      </c>
      <c r="K13" s="4"/>
      <c r="L13" s="4" t="s">
        <v>85</v>
      </c>
      <c r="M13" s="4" t="s">
        <v>49</v>
      </c>
      <c r="N13" s="4" t="s">
        <v>81</v>
      </c>
      <c r="O13" s="4" t="s">
        <v>82</v>
      </c>
      <c r="P13" s="4" t="s">
        <v>83</v>
      </c>
      <c r="Q13" s="4" t="s">
        <v>54</v>
      </c>
      <c r="R13" s="4" t="s">
        <v>55</v>
      </c>
      <c r="S13" s="4" t="s">
        <v>56</v>
      </c>
      <c r="T13" s="4">
        <v>6</v>
      </c>
      <c r="U13" s="4" t="s">
        <v>57</v>
      </c>
      <c r="V13" s="4">
        <v>97459</v>
      </c>
      <c r="W13" s="4" t="s">
        <v>58</v>
      </c>
      <c r="X13" s="4">
        <v>1717662512</v>
      </c>
      <c r="Y13" s="4" t="s">
        <v>71</v>
      </c>
      <c r="Z13" s="4" t="s">
        <v>55</v>
      </c>
      <c r="AA13" s="4" t="s">
        <v>60</v>
      </c>
      <c r="AB13" s="4" t="s">
        <v>61</v>
      </c>
      <c r="AC13" s="4">
        <v>587</v>
      </c>
      <c r="AD13" s="4" t="s">
        <v>62</v>
      </c>
      <c r="AE13" s="4" t="s">
        <v>55</v>
      </c>
      <c r="AF13" s="4" t="s">
        <v>55</v>
      </c>
      <c r="AG13" s="4" t="s">
        <v>84</v>
      </c>
      <c r="AH13" s="4">
        <v>531407</v>
      </c>
      <c r="AI13" s="4" t="s">
        <v>64</v>
      </c>
      <c r="AJ13" s="4" t="s">
        <v>49</v>
      </c>
      <c r="AK13" s="5">
        <v>43753</v>
      </c>
      <c r="AL13" s="6">
        <v>43768</v>
      </c>
      <c r="AM13" s="6">
        <v>43768</v>
      </c>
      <c r="AN13" s="4">
        <v>0</v>
      </c>
      <c r="AO13" s="4"/>
      <c r="AP13" s="4" t="s">
        <v>85</v>
      </c>
      <c r="AQ13" s="4">
        <v>0</v>
      </c>
      <c r="AR13" s="4" t="s">
        <v>85</v>
      </c>
      <c r="AS13" s="4">
        <v>0</v>
      </c>
      <c r="AT13" s="4" t="s">
        <v>49</v>
      </c>
    </row>
    <row r="14" spans="1:46" ht="150" x14ac:dyDescent="0.25">
      <c r="A14" s="4">
        <v>29027948</v>
      </c>
      <c r="B14" s="4" t="str">
        <f>""</f>
        <v/>
      </c>
      <c r="C14" s="4" t="str">
        <f t="shared" si="0"/>
        <v>170700200001</v>
      </c>
      <c r="D14" s="4">
        <v>5</v>
      </c>
      <c r="E14" s="4" t="s">
        <v>47</v>
      </c>
      <c r="F14" s="4" t="s">
        <v>79</v>
      </c>
      <c r="G14" s="4" t="str">
        <f>"29027948"</f>
        <v>29027948</v>
      </c>
      <c r="H14" s="4" t="str">
        <f t="shared" si="1"/>
        <v>TECLADO + MOUSE INALAMBRICOS CON BATERIAS /2.4 GHZ CON NANO RECEPTOR USB</v>
      </c>
      <c r="I14" s="4" t="str">
        <f t="shared" si="2"/>
        <v>LOGITECH MK WIRELES / PROTOCOLO NO UNIFYING CON RADIO DE ACCION DE 10 METROS</v>
      </c>
      <c r="J14" s="4" t="s">
        <v>49</v>
      </c>
      <c r="K14" s="4"/>
      <c r="L14" s="4" t="s">
        <v>85</v>
      </c>
      <c r="M14" s="4" t="s">
        <v>49</v>
      </c>
      <c r="N14" s="4" t="s">
        <v>81</v>
      </c>
      <c r="O14" s="4" t="s">
        <v>82</v>
      </c>
      <c r="P14" s="4" t="s">
        <v>88</v>
      </c>
      <c r="Q14" s="4" t="s">
        <v>54</v>
      </c>
      <c r="R14" s="4" t="s">
        <v>55</v>
      </c>
      <c r="S14" s="4" t="s">
        <v>56</v>
      </c>
      <c r="T14" s="4">
        <v>6</v>
      </c>
      <c r="U14" s="4" t="s">
        <v>57</v>
      </c>
      <c r="V14" s="4">
        <v>97459</v>
      </c>
      <c r="W14" s="4" t="s">
        <v>58</v>
      </c>
      <c r="X14" s="4">
        <v>1717662512</v>
      </c>
      <c r="Y14" s="4" t="s">
        <v>71</v>
      </c>
      <c r="Z14" s="4" t="s">
        <v>55</v>
      </c>
      <c r="AA14" s="4" t="s">
        <v>60</v>
      </c>
      <c r="AB14" s="4" t="s">
        <v>61</v>
      </c>
      <c r="AC14" s="4">
        <v>587</v>
      </c>
      <c r="AD14" s="4" t="s">
        <v>62</v>
      </c>
      <c r="AE14" s="4" t="s">
        <v>55</v>
      </c>
      <c r="AF14" s="4" t="s">
        <v>55</v>
      </c>
      <c r="AG14" s="4" t="s">
        <v>84</v>
      </c>
      <c r="AH14" s="4">
        <v>531407</v>
      </c>
      <c r="AI14" s="4" t="s">
        <v>64</v>
      </c>
      <c r="AJ14" s="4" t="s">
        <v>49</v>
      </c>
      <c r="AK14" s="5">
        <v>43753</v>
      </c>
      <c r="AL14" s="6">
        <v>43768</v>
      </c>
      <c r="AM14" s="6">
        <v>43768</v>
      </c>
      <c r="AN14" s="4">
        <v>0</v>
      </c>
      <c r="AO14" s="4"/>
      <c r="AP14" s="4" t="s">
        <v>85</v>
      </c>
      <c r="AQ14" s="4">
        <v>0</v>
      </c>
      <c r="AR14" s="4" t="s">
        <v>85</v>
      </c>
      <c r="AS14" s="4">
        <v>0</v>
      </c>
      <c r="AT14" s="4" t="s">
        <v>49</v>
      </c>
    </row>
    <row r="15" spans="1:46" ht="150" x14ac:dyDescent="0.25">
      <c r="A15" s="4">
        <v>29027949</v>
      </c>
      <c r="B15" s="4" t="str">
        <f>""</f>
        <v/>
      </c>
      <c r="C15" s="4" t="str">
        <f t="shared" si="0"/>
        <v>170700200001</v>
      </c>
      <c r="D15" s="4">
        <v>5</v>
      </c>
      <c r="E15" s="4" t="s">
        <v>47</v>
      </c>
      <c r="F15" s="4" t="s">
        <v>79</v>
      </c>
      <c r="G15" s="4" t="str">
        <f>"29027949"</f>
        <v>29027949</v>
      </c>
      <c r="H15" s="4" t="str">
        <f t="shared" si="1"/>
        <v>TECLADO + MOUSE INALAMBRICOS CON BATERIAS /2.4 GHZ CON NANO RECEPTOR USB</v>
      </c>
      <c r="I15" s="4" t="str">
        <f t="shared" si="2"/>
        <v>LOGITECH MK WIRELES / PROTOCOLO NO UNIFYING CON RADIO DE ACCION DE 10 METROS</v>
      </c>
      <c r="J15" s="4" t="s">
        <v>49</v>
      </c>
      <c r="K15" s="4"/>
      <c r="L15" s="4" t="s">
        <v>85</v>
      </c>
      <c r="M15" s="4" t="s">
        <v>49</v>
      </c>
      <c r="N15" s="4" t="s">
        <v>81</v>
      </c>
      <c r="O15" s="4" t="s">
        <v>82</v>
      </c>
      <c r="P15" s="4" t="s">
        <v>83</v>
      </c>
      <c r="Q15" s="4" t="s">
        <v>54</v>
      </c>
      <c r="R15" s="4" t="s">
        <v>55</v>
      </c>
      <c r="S15" s="4" t="s">
        <v>56</v>
      </c>
      <c r="T15" s="4">
        <v>6</v>
      </c>
      <c r="U15" s="4" t="s">
        <v>57</v>
      </c>
      <c r="V15" s="4">
        <v>97459</v>
      </c>
      <c r="W15" s="4" t="s">
        <v>58</v>
      </c>
      <c r="X15" s="4">
        <v>1714641105</v>
      </c>
      <c r="Y15" s="4" t="s">
        <v>89</v>
      </c>
      <c r="Z15" s="4" t="s">
        <v>55</v>
      </c>
      <c r="AA15" s="4" t="s">
        <v>60</v>
      </c>
      <c r="AB15" s="4" t="s">
        <v>61</v>
      </c>
      <c r="AC15" s="4">
        <v>587</v>
      </c>
      <c r="AD15" s="4" t="s">
        <v>62</v>
      </c>
      <c r="AE15" s="4" t="s">
        <v>55</v>
      </c>
      <c r="AF15" s="4" t="s">
        <v>55</v>
      </c>
      <c r="AG15" s="4" t="s">
        <v>84</v>
      </c>
      <c r="AH15" s="4">
        <v>531407</v>
      </c>
      <c r="AI15" s="4" t="s">
        <v>64</v>
      </c>
      <c r="AJ15" s="4" t="s">
        <v>49</v>
      </c>
      <c r="AK15" s="5">
        <v>43753</v>
      </c>
      <c r="AL15" s="6">
        <v>43768</v>
      </c>
      <c r="AM15" s="6">
        <v>43768</v>
      </c>
      <c r="AN15" s="4">
        <v>0</v>
      </c>
      <c r="AO15" s="4"/>
      <c r="AP15" s="4" t="s">
        <v>85</v>
      </c>
      <c r="AQ15" s="4">
        <v>0</v>
      </c>
      <c r="AR15" s="4" t="s">
        <v>85</v>
      </c>
      <c r="AS15" s="4">
        <v>0</v>
      </c>
      <c r="AT15" s="4" t="s">
        <v>49</v>
      </c>
    </row>
    <row r="16" spans="1:46" ht="150" x14ac:dyDescent="0.25">
      <c r="A16" s="4">
        <v>29027950</v>
      </c>
      <c r="B16" s="4" t="str">
        <f>""</f>
        <v/>
      </c>
      <c r="C16" s="4" t="str">
        <f t="shared" si="0"/>
        <v>170700200001</v>
      </c>
      <c r="D16" s="4">
        <v>5</v>
      </c>
      <c r="E16" s="4" t="s">
        <v>47</v>
      </c>
      <c r="F16" s="4" t="s">
        <v>79</v>
      </c>
      <c r="G16" s="4" t="str">
        <f>"29027950"</f>
        <v>29027950</v>
      </c>
      <c r="H16" s="4" t="str">
        <f t="shared" si="1"/>
        <v>TECLADO + MOUSE INALAMBRICOS CON BATERIAS /2.4 GHZ CON NANO RECEPTOR USB</v>
      </c>
      <c r="I16" s="4" t="str">
        <f t="shared" si="2"/>
        <v>LOGITECH MK WIRELES / PROTOCOLO NO UNIFYING CON RADIO DE ACCION DE 10 METROS</v>
      </c>
      <c r="J16" s="4" t="s">
        <v>49</v>
      </c>
      <c r="K16" s="4"/>
      <c r="L16" s="4" t="s">
        <v>85</v>
      </c>
      <c r="M16" s="4" t="s">
        <v>49</v>
      </c>
      <c r="N16" s="4" t="s">
        <v>81</v>
      </c>
      <c r="O16" s="4" t="s">
        <v>82</v>
      </c>
      <c r="P16" s="4" t="s">
        <v>83</v>
      </c>
      <c r="Q16" s="4" t="s">
        <v>54</v>
      </c>
      <c r="R16" s="4" t="s">
        <v>55</v>
      </c>
      <c r="S16" s="4" t="s">
        <v>56</v>
      </c>
      <c r="T16" s="4">
        <v>6</v>
      </c>
      <c r="U16" s="4" t="s">
        <v>57</v>
      </c>
      <c r="V16" s="4">
        <v>97459</v>
      </c>
      <c r="W16" s="4" t="s">
        <v>58</v>
      </c>
      <c r="X16" s="4">
        <v>1717662512</v>
      </c>
      <c r="Y16" s="4" t="s">
        <v>71</v>
      </c>
      <c r="Z16" s="4" t="s">
        <v>55</v>
      </c>
      <c r="AA16" s="4" t="s">
        <v>60</v>
      </c>
      <c r="AB16" s="4" t="s">
        <v>61</v>
      </c>
      <c r="AC16" s="4">
        <v>587</v>
      </c>
      <c r="AD16" s="4" t="s">
        <v>62</v>
      </c>
      <c r="AE16" s="4" t="s">
        <v>55</v>
      </c>
      <c r="AF16" s="4" t="s">
        <v>55</v>
      </c>
      <c r="AG16" s="4" t="s">
        <v>84</v>
      </c>
      <c r="AH16" s="4">
        <v>531407</v>
      </c>
      <c r="AI16" s="4" t="s">
        <v>64</v>
      </c>
      <c r="AJ16" s="4" t="s">
        <v>49</v>
      </c>
      <c r="AK16" s="5">
        <v>43753</v>
      </c>
      <c r="AL16" s="6">
        <v>43768</v>
      </c>
      <c r="AM16" s="6">
        <v>43768</v>
      </c>
      <c r="AN16" s="4">
        <v>0</v>
      </c>
      <c r="AO16" s="4"/>
      <c r="AP16" s="4" t="s">
        <v>85</v>
      </c>
      <c r="AQ16" s="4">
        <v>0</v>
      </c>
      <c r="AR16" s="4" t="s">
        <v>85</v>
      </c>
      <c r="AS16" s="4">
        <v>0</v>
      </c>
      <c r="AT16" s="4" t="s">
        <v>49</v>
      </c>
    </row>
    <row r="17" spans="1:46" ht="150" x14ac:dyDescent="0.25">
      <c r="A17" s="4">
        <v>29027951</v>
      </c>
      <c r="B17" s="4" t="str">
        <f>""</f>
        <v/>
      </c>
      <c r="C17" s="4" t="str">
        <f t="shared" si="0"/>
        <v>170700200001</v>
      </c>
      <c r="D17" s="4">
        <v>5</v>
      </c>
      <c r="E17" s="4" t="s">
        <v>47</v>
      </c>
      <c r="F17" s="4" t="s">
        <v>79</v>
      </c>
      <c r="G17" s="4" t="str">
        <f>"29027951"</f>
        <v>29027951</v>
      </c>
      <c r="H17" s="4" t="str">
        <f t="shared" si="1"/>
        <v>TECLADO + MOUSE INALAMBRICOS CON BATERIAS /2.4 GHZ CON NANO RECEPTOR USB</v>
      </c>
      <c r="I17" s="4" t="str">
        <f t="shared" si="2"/>
        <v>LOGITECH MK WIRELES / PROTOCOLO NO UNIFYING CON RADIO DE ACCION DE 10 METROS</v>
      </c>
      <c r="J17" s="4" t="s">
        <v>49</v>
      </c>
      <c r="K17" s="4"/>
      <c r="L17" s="4" t="s">
        <v>85</v>
      </c>
      <c r="M17" s="4" t="s">
        <v>49</v>
      </c>
      <c r="N17" s="4" t="s">
        <v>81</v>
      </c>
      <c r="O17" s="4" t="s">
        <v>82</v>
      </c>
      <c r="P17" s="4" t="s">
        <v>83</v>
      </c>
      <c r="Q17" s="4" t="s">
        <v>54</v>
      </c>
      <c r="R17" s="4" t="s">
        <v>55</v>
      </c>
      <c r="S17" s="4" t="s">
        <v>56</v>
      </c>
      <c r="T17" s="4">
        <v>6</v>
      </c>
      <c r="U17" s="4" t="s">
        <v>57</v>
      </c>
      <c r="V17" s="4">
        <v>97459</v>
      </c>
      <c r="W17" s="4" t="s">
        <v>58</v>
      </c>
      <c r="X17" s="4">
        <v>1717662512</v>
      </c>
      <c r="Y17" s="4" t="s">
        <v>71</v>
      </c>
      <c r="Z17" s="4" t="s">
        <v>55</v>
      </c>
      <c r="AA17" s="4" t="s">
        <v>60</v>
      </c>
      <c r="AB17" s="4" t="s">
        <v>61</v>
      </c>
      <c r="AC17" s="4">
        <v>587</v>
      </c>
      <c r="AD17" s="4" t="s">
        <v>62</v>
      </c>
      <c r="AE17" s="4" t="s">
        <v>55</v>
      </c>
      <c r="AF17" s="4" t="s">
        <v>55</v>
      </c>
      <c r="AG17" s="4" t="s">
        <v>84</v>
      </c>
      <c r="AH17" s="4">
        <v>531407</v>
      </c>
      <c r="AI17" s="4" t="s">
        <v>64</v>
      </c>
      <c r="AJ17" s="4" t="s">
        <v>49</v>
      </c>
      <c r="AK17" s="5">
        <v>43753</v>
      </c>
      <c r="AL17" s="6">
        <v>43768</v>
      </c>
      <c r="AM17" s="6">
        <v>43768</v>
      </c>
      <c r="AN17" s="4">
        <v>0</v>
      </c>
      <c r="AO17" s="4"/>
      <c r="AP17" s="4" t="s">
        <v>85</v>
      </c>
      <c r="AQ17" s="4">
        <v>0</v>
      </c>
      <c r="AR17" s="4" t="s">
        <v>85</v>
      </c>
      <c r="AS17" s="4">
        <v>0</v>
      </c>
      <c r="AT17" s="4" t="s">
        <v>49</v>
      </c>
    </row>
    <row r="18" spans="1:46" ht="105" x14ac:dyDescent="0.25">
      <c r="A18" s="4">
        <v>30555843</v>
      </c>
      <c r="B18" s="4" t="str">
        <f>""</f>
        <v/>
      </c>
      <c r="C18" s="4" t="str">
        <f>"170300990001"</f>
        <v>170300990001</v>
      </c>
      <c r="D18" s="4">
        <v>4</v>
      </c>
      <c r="E18" s="4" t="s">
        <v>47</v>
      </c>
      <c r="F18" s="4" t="s">
        <v>90</v>
      </c>
      <c r="G18" s="4" t="str">
        <f>"30555843"</f>
        <v>30555843</v>
      </c>
      <c r="H18" s="4" t="str">
        <f>"SIN MODELO/ RECATNGULAR /TABLERO DE CORCHO"</f>
        <v>SIN MODELO/ RECATNGULAR /TABLERO DE CORCHO</v>
      </c>
      <c r="I18" s="4" t="str">
        <f>"SIN MARCA/ COLOR CAFÉ"</f>
        <v>SIN MARCA/ COLOR CAFÉ</v>
      </c>
      <c r="J18" s="4" t="s">
        <v>49</v>
      </c>
      <c r="K18" s="4"/>
      <c r="L18" s="4" t="s">
        <v>91</v>
      </c>
      <c r="M18" s="4" t="s">
        <v>49</v>
      </c>
      <c r="N18" s="4" t="s">
        <v>92</v>
      </c>
      <c r="O18" s="4" t="s">
        <v>93</v>
      </c>
      <c r="P18" s="4" t="s">
        <v>94</v>
      </c>
      <c r="Q18" s="4" t="s">
        <v>54</v>
      </c>
      <c r="R18" s="4" t="s">
        <v>55</v>
      </c>
      <c r="S18" s="4" t="s">
        <v>56</v>
      </c>
      <c r="T18" s="4">
        <v>6</v>
      </c>
      <c r="U18" s="4" t="s">
        <v>57</v>
      </c>
      <c r="V18" s="4">
        <v>97459</v>
      </c>
      <c r="W18" s="4" t="s">
        <v>58</v>
      </c>
      <c r="X18" s="4">
        <v>1003429584</v>
      </c>
      <c r="Y18" s="4" t="s">
        <v>95</v>
      </c>
      <c r="Z18" s="4" t="s">
        <v>55</v>
      </c>
      <c r="AA18" s="4" t="s">
        <v>96</v>
      </c>
      <c r="AB18" s="4" t="s">
        <v>61</v>
      </c>
      <c r="AC18" s="4" t="s">
        <v>73</v>
      </c>
      <c r="AD18" s="4" t="s">
        <v>62</v>
      </c>
      <c r="AE18" s="4" t="s">
        <v>55</v>
      </c>
      <c r="AF18" s="4" t="s">
        <v>55</v>
      </c>
      <c r="AG18" s="4" t="s">
        <v>97</v>
      </c>
      <c r="AH18" s="4">
        <v>0</v>
      </c>
      <c r="AI18" s="4" t="s">
        <v>64</v>
      </c>
      <c r="AJ18" s="4" t="s">
        <v>49</v>
      </c>
      <c r="AK18" s="5">
        <v>43893</v>
      </c>
      <c r="AL18" s="6">
        <v>43808</v>
      </c>
      <c r="AM18" s="4"/>
      <c r="AN18" s="4">
        <v>0</v>
      </c>
      <c r="AO18" s="4"/>
      <c r="AP18" s="4" t="s">
        <v>91</v>
      </c>
      <c r="AQ18" s="4">
        <v>0</v>
      </c>
      <c r="AR18" s="4" t="s">
        <v>91</v>
      </c>
      <c r="AS18" s="4">
        <v>0</v>
      </c>
      <c r="AT18" s="4" t="s">
        <v>49</v>
      </c>
    </row>
    <row r="19" spans="1:46" ht="105" x14ac:dyDescent="0.25">
      <c r="A19" s="4">
        <v>30555844</v>
      </c>
      <c r="B19" s="4" t="str">
        <f>""</f>
        <v/>
      </c>
      <c r="C19" s="4" t="str">
        <f>"170300990001"</f>
        <v>170300990001</v>
      </c>
      <c r="D19" s="4">
        <v>4</v>
      </c>
      <c r="E19" s="4" t="s">
        <v>47</v>
      </c>
      <c r="F19" s="4" t="s">
        <v>90</v>
      </c>
      <c r="G19" s="4" t="str">
        <f>"30555844"</f>
        <v>30555844</v>
      </c>
      <c r="H19" s="4" t="str">
        <f>"SIN MODELO/ RECATNGULAR /TABLERO DE CORCHO "</f>
        <v xml:space="preserve">SIN MODELO/ RECATNGULAR /TABLERO DE CORCHO </v>
      </c>
      <c r="I19" s="4" t="str">
        <f>"SIN MARCA/ COLOR CAFE "</f>
        <v xml:space="preserve">SIN MARCA/ COLOR CAFE </v>
      </c>
      <c r="J19" s="4" t="s">
        <v>49</v>
      </c>
      <c r="K19" s="4"/>
      <c r="L19" s="4" t="s">
        <v>91</v>
      </c>
      <c r="M19" s="4" t="s">
        <v>49</v>
      </c>
      <c r="N19" s="4" t="s">
        <v>98</v>
      </c>
      <c r="O19" s="4" t="s">
        <v>93</v>
      </c>
      <c r="P19" s="4" t="s">
        <v>94</v>
      </c>
      <c r="Q19" s="4" t="s">
        <v>54</v>
      </c>
      <c r="R19" s="4" t="s">
        <v>55</v>
      </c>
      <c r="S19" s="4" t="s">
        <v>56</v>
      </c>
      <c r="T19" s="4">
        <v>6</v>
      </c>
      <c r="U19" s="4" t="s">
        <v>57</v>
      </c>
      <c r="V19" s="4">
        <v>97459</v>
      </c>
      <c r="W19" s="4" t="s">
        <v>58</v>
      </c>
      <c r="X19" s="4">
        <v>102936168</v>
      </c>
      <c r="Y19" s="4" t="s">
        <v>59</v>
      </c>
      <c r="Z19" s="4" t="s">
        <v>55</v>
      </c>
      <c r="AA19" s="4" t="s">
        <v>96</v>
      </c>
      <c r="AB19" s="4" t="s">
        <v>61</v>
      </c>
      <c r="AC19" s="4" t="s">
        <v>73</v>
      </c>
      <c r="AD19" s="4" t="s">
        <v>62</v>
      </c>
      <c r="AE19" s="4" t="s">
        <v>55</v>
      </c>
      <c r="AF19" s="4" t="s">
        <v>55</v>
      </c>
      <c r="AG19" s="4" t="s">
        <v>97</v>
      </c>
      <c r="AH19" s="4">
        <v>0</v>
      </c>
      <c r="AI19" s="4" t="s">
        <v>64</v>
      </c>
      <c r="AJ19" s="4" t="s">
        <v>49</v>
      </c>
      <c r="AK19" s="5">
        <v>43893</v>
      </c>
      <c r="AL19" s="6">
        <v>43808</v>
      </c>
      <c r="AM19" s="4"/>
      <c r="AN19" s="4">
        <v>0</v>
      </c>
      <c r="AO19" s="4"/>
      <c r="AP19" s="4" t="s">
        <v>91</v>
      </c>
      <c r="AQ19" s="4">
        <v>0</v>
      </c>
      <c r="AR19" s="4" t="s">
        <v>91</v>
      </c>
      <c r="AS19" s="4">
        <v>0</v>
      </c>
      <c r="AT19" s="4" t="s">
        <v>49</v>
      </c>
    </row>
    <row r="20" spans="1:46" ht="105" x14ac:dyDescent="0.25">
      <c r="A20" s="4">
        <v>30297154</v>
      </c>
      <c r="B20" s="4" t="str">
        <f>""</f>
        <v/>
      </c>
      <c r="C20" s="4" t="str">
        <f>"170400940001"</f>
        <v>170400940001</v>
      </c>
      <c r="D20" s="4">
        <v>7</v>
      </c>
      <c r="E20" s="4" t="s">
        <v>47</v>
      </c>
      <c r="F20" s="4" t="s">
        <v>99</v>
      </c>
      <c r="G20" s="4" t="str">
        <f>"30297154"</f>
        <v>30297154</v>
      </c>
      <c r="H20" s="4" t="str">
        <f>"CAFETERA 40515/ 42 TAZAS / PESO: 1 kilo y 815 gramos."</f>
        <v>CAFETERA 40515/ 42 TAZAS / PESO: 1 kilo y 815 gramos.</v>
      </c>
      <c r="I20" s="4" t="str">
        <f>"HAMILTON BEACH / 47,2 x 29,2 x 29,2 cm. (Alto x Largo x Ancho)."</f>
        <v>HAMILTON BEACH / 47,2 x 29,2 x 29,2 cm. (Alto x Largo x Ancho).</v>
      </c>
      <c r="J20" s="4" t="s">
        <v>49</v>
      </c>
      <c r="K20" s="4"/>
      <c r="L20" s="4">
        <v>64</v>
      </c>
      <c r="M20" s="4" t="s">
        <v>49</v>
      </c>
      <c r="N20" s="4" t="s">
        <v>100</v>
      </c>
      <c r="O20" s="4" t="s">
        <v>101</v>
      </c>
      <c r="P20" s="4" t="s">
        <v>102</v>
      </c>
      <c r="Q20" s="4" t="s">
        <v>54</v>
      </c>
      <c r="R20" s="4" t="s">
        <v>55</v>
      </c>
      <c r="S20" s="4" t="s">
        <v>56</v>
      </c>
      <c r="T20" s="4">
        <v>6</v>
      </c>
      <c r="U20" s="4" t="s">
        <v>57</v>
      </c>
      <c r="V20" s="4">
        <v>97459</v>
      </c>
      <c r="W20" s="4" t="s">
        <v>58</v>
      </c>
      <c r="X20" s="4">
        <v>1717662512</v>
      </c>
      <c r="Y20" s="4" t="s">
        <v>71</v>
      </c>
      <c r="Z20" s="4" t="s">
        <v>55</v>
      </c>
      <c r="AA20" s="4" t="s">
        <v>96</v>
      </c>
      <c r="AB20" s="4" t="s">
        <v>61</v>
      </c>
      <c r="AC20" s="4" t="s">
        <v>73</v>
      </c>
      <c r="AD20" s="4" t="s">
        <v>62</v>
      </c>
      <c r="AE20" s="4" t="s">
        <v>55</v>
      </c>
      <c r="AF20" s="4" t="s">
        <v>55</v>
      </c>
      <c r="AG20" s="4" t="s">
        <v>103</v>
      </c>
      <c r="AH20" s="4">
        <v>0</v>
      </c>
      <c r="AI20" s="4" t="s">
        <v>64</v>
      </c>
      <c r="AJ20" s="4" t="s">
        <v>49</v>
      </c>
      <c r="AK20" s="5">
        <v>43822</v>
      </c>
      <c r="AL20" s="6">
        <v>42926</v>
      </c>
      <c r="AM20" s="4"/>
      <c r="AN20" s="4">
        <v>0</v>
      </c>
      <c r="AO20" s="4"/>
      <c r="AP20" s="4">
        <v>64</v>
      </c>
      <c r="AQ20" s="4">
        <v>0</v>
      </c>
      <c r="AR20" s="4">
        <v>64</v>
      </c>
      <c r="AS20" s="4">
        <v>0</v>
      </c>
      <c r="AT20" s="4" t="s">
        <v>49</v>
      </c>
    </row>
    <row r="21" spans="1:46" ht="90" x14ac:dyDescent="0.25">
      <c r="A21" s="4">
        <v>30301684</v>
      </c>
      <c r="B21" s="4" t="str">
        <f>""</f>
        <v/>
      </c>
      <c r="C21" s="4" t="str">
        <f>"170300510001"</f>
        <v>170300510001</v>
      </c>
      <c r="D21" s="4">
        <v>8</v>
      </c>
      <c r="E21" s="4" t="s">
        <v>47</v>
      </c>
      <c r="F21" s="4" t="s">
        <v>104</v>
      </c>
      <c r="G21" s="4" t="str">
        <f>"30301684"</f>
        <v>30301684</v>
      </c>
      <c r="H21" s="4" t="str">
        <f>"PIZARRA LIQUIDA CON POEDESTAL 200 CMM X 120CMM "</f>
        <v xml:space="preserve">PIZARRA LIQUIDA CON POEDESTAL 200 CMM X 120CMM </v>
      </c>
      <c r="I21" s="4" t="str">
        <f>"S/M "</f>
        <v xml:space="preserve">S/M </v>
      </c>
      <c r="J21" s="4" t="s">
        <v>49</v>
      </c>
      <c r="K21" s="4"/>
      <c r="L21" s="4" t="s">
        <v>105</v>
      </c>
      <c r="M21" s="4" t="s">
        <v>49</v>
      </c>
      <c r="N21" s="4" t="s">
        <v>106</v>
      </c>
      <c r="O21" s="4" t="s">
        <v>107</v>
      </c>
      <c r="P21" s="4" t="s">
        <v>108</v>
      </c>
      <c r="Q21" s="4" t="s">
        <v>54</v>
      </c>
      <c r="R21" s="4" t="s">
        <v>55</v>
      </c>
      <c r="S21" s="4" t="s">
        <v>56</v>
      </c>
      <c r="T21" s="4">
        <v>6</v>
      </c>
      <c r="U21" s="4" t="s">
        <v>57</v>
      </c>
      <c r="V21" s="4">
        <v>97459</v>
      </c>
      <c r="W21" s="4" t="s">
        <v>58</v>
      </c>
      <c r="X21" s="4">
        <v>1719443135</v>
      </c>
      <c r="Y21" s="4" t="s">
        <v>109</v>
      </c>
      <c r="Z21" s="4" t="s">
        <v>55</v>
      </c>
      <c r="AA21" s="4" t="s">
        <v>96</v>
      </c>
      <c r="AB21" s="4" t="s">
        <v>61</v>
      </c>
      <c r="AC21" s="4" t="s">
        <v>73</v>
      </c>
      <c r="AD21" s="4" t="s">
        <v>62</v>
      </c>
      <c r="AE21" s="4" t="s">
        <v>55</v>
      </c>
      <c r="AF21" s="4" t="s">
        <v>55</v>
      </c>
      <c r="AG21" s="4" t="s">
        <v>110</v>
      </c>
      <c r="AH21" s="4">
        <v>0</v>
      </c>
      <c r="AI21" s="4" t="s">
        <v>64</v>
      </c>
      <c r="AJ21" s="4" t="s">
        <v>49</v>
      </c>
      <c r="AK21" s="5">
        <v>43823</v>
      </c>
      <c r="AL21" s="6">
        <v>42878</v>
      </c>
      <c r="AM21" s="4"/>
      <c r="AN21" s="4">
        <v>0</v>
      </c>
      <c r="AO21" s="4"/>
      <c r="AP21" s="4" t="s">
        <v>105</v>
      </c>
      <c r="AQ21" s="4">
        <v>0</v>
      </c>
      <c r="AR21" s="4" t="s">
        <v>105</v>
      </c>
      <c r="AS21" s="4">
        <v>0</v>
      </c>
      <c r="AT21" s="4" t="s">
        <v>49</v>
      </c>
    </row>
    <row r="22" spans="1:46" ht="60" x14ac:dyDescent="0.25">
      <c r="A22" s="4">
        <v>40589932</v>
      </c>
      <c r="B22" s="4" t="str">
        <f>""</f>
        <v/>
      </c>
      <c r="C22" s="4" t="str">
        <f>"170400960001"</f>
        <v>170400960001</v>
      </c>
      <c r="D22" s="4">
        <v>92</v>
      </c>
      <c r="E22" s="4" t="s">
        <v>47</v>
      </c>
      <c r="F22" s="4" t="s">
        <v>111</v>
      </c>
      <c r="G22" s="4" t="str">
        <f>"S/N"</f>
        <v>S/N</v>
      </c>
      <c r="H22" s="4" t="str">
        <f>"6662A"</f>
        <v>6662A</v>
      </c>
      <c r="I22" s="4" t="str">
        <f>"WEIFENG"</f>
        <v>WEIFENG</v>
      </c>
      <c r="J22" s="4"/>
      <c r="K22" s="4"/>
      <c r="L22" s="4" t="s">
        <v>112</v>
      </c>
      <c r="M22" s="4"/>
      <c r="N22" s="4" t="s">
        <v>113</v>
      </c>
      <c r="O22" s="4" t="s">
        <v>114</v>
      </c>
      <c r="P22" s="4" t="s">
        <v>115</v>
      </c>
      <c r="Q22" s="4" t="s">
        <v>54</v>
      </c>
      <c r="R22" s="4" t="s">
        <v>55</v>
      </c>
      <c r="S22" s="4" t="s">
        <v>56</v>
      </c>
      <c r="T22" s="4">
        <v>6</v>
      </c>
      <c r="U22" s="4" t="s">
        <v>57</v>
      </c>
      <c r="V22" s="4">
        <v>97459</v>
      </c>
      <c r="W22" s="4" t="s">
        <v>58</v>
      </c>
      <c r="X22" s="4">
        <v>1717662512</v>
      </c>
      <c r="Y22" s="4" t="s">
        <v>71</v>
      </c>
      <c r="Z22" s="4" t="s">
        <v>55</v>
      </c>
      <c r="AA22" s="4" t="s">
        <v>116</v>
      </c>
      <c r="AB22" s="4" t="s">
        <v>61</v>
      </c>
      <c r="AC22" s="4" t="s">
        <v>73</v>
      </c>
      <c r="AD22" s="4" t="s">
        <v>62</v>
      </c>
      <c r="AE22" s="4" t="s">
        <v>55</v>
      </c>
      <c r="AF22" s="4" t="s">
        <v>55</v>
      </c>
      <c r="AG22" s="4" t="s">
        <v>117</v>
      </c>
      <c r="AH22" s="4">
        <v>0</v>
      </c>
      <c r="AI22" s="4" t="s">
        <v>64</v>
      </c>
      <c r="AJ22" s="4" t="s">
        <v>49</v>
      </c>
      <c r="AK22" s="5">
        <v>45973</v>
      </c>
      <c r="AL22" s="6">
        <v>45973</v>
      </c>
      <c r="AM22" s="4"/>
      <c r="AN22" s="4">
        <v>0</v>
      </c>
      <c r="AO22" s="4"/>
      <c r="AP22" s="4" t="s">
        <v>112</v>
      </c>
      <c r="AQ22" s="4">
        <v>0</v>
      </c>
      <c r="AR22" s="4" t="s">
        <v>112</v>
      </c>
      <c r="AS22" s="4">
        <v>0</v>
      </c>
      <c r="AT22" s="4" t="s">
        <v>49</v>
      </c>
    </row>
    <row r="23" spans="1:46" ht="60" x14ac:dyDescent="0.25">
      <c r="A23" s="4">
        <v>40590659</v>
      </c>
      <c r="B23" s="4" t="str">
        <f>""</f>
        <v/>
      </c>
      <c r="C23" s="4" t="str">
        <f>"170400700001"</f>
        <v>170400700001</v>
      </c>
      <c r="D23" s="4">
        <v>95</v>
      </c>
      <c r="E23" s="4" t="s">
        <v>47</v>
      </c>
      <c r="F23" s="4" t="s">
        <v>118</v>
      </c>
      <c r="G23" s="4" t="str">
        <f>"S/N."</f>
        <v>S/N.</v>
      </c>
      <c r="H23" s="4" t="str">
        <f>"BY-WM4 PRO"</f>
        <v>BY-WM4 PRO</v>
      </c>
      <c r="I23" s="4" t="str">
        <f>"BOYA"</f>
        <v>BOYA</v>
      </c>
      <c r="J23" s="4"/>
      <c r="K23" s="4"/>
      <c r="L23" s="4">
        <v>138</v>
      </c>
      <c r="M23" s="4"/>
      <c r="N23" s="4" t="s">
        <v>113</v>
      </c>
      <c r="O23" s="4" t="s">
        <v>114</v>
      </c>
      <c r="P23" s="4" t="s">
        <v>119</v>
      </c>
      <c r="Q23" s="4" t="s">
        <v>54</v>
      </c>
      <c r="R23" s="4" t="s">
        <v>55</v>
      </c>
      <c r="S23" s="4" t="s">
        <v>56</v>
      </c>
      <c r="T23" s="4">
        <v>6</v>
      </c>
      <c r="U23" s="4" t="s">
        <v>57</v>
      </c>
      <c r="V23" s="4">
        <v>97459</v>
      </c>
      <c r="W23" s="4" t="s">
        <v>58</v>
      </c>
      <c r="X23" s="4">
        <v>1717662512</v>
      </c>
      <c r="Y23" s="4" t="s">
        <v>71</v>
      </c>
      <c r="Z23" s="4" t="s">
        <v>55</v>
      </c>
      <c r="AA23" s="4" t="s">
        <v>116</v>
      </c>
      <c r="AB23" s="4" t="s">
        <v>61</v>
      </c>
      <c r="AC23" s="4" t="s">
        <v>73</v>
      </c>
      <c r="AD23" s="4" t="s">
        <v>62</v>
      </c>
      <c r="AE23" s="4" t="s">
        <v>55</v>
      </c>
      <c r="AF23" s="4" t="s">
        <v>55</v>
      </c>
      <c r="AG23" s="4" t="s">
        <v>120</v>
      </c>
      <c r="AH23" s="4">
        <v>0</v>
      </c>
      <c r="AI23" s="4" t="s">
        <v>64</v>
      </c>
      <c r="AJ23" s="4" t="s">
        <v>49</v>
      </c>
      <c r="AK23" s="5">
        <v>45973</v>
      </c>
      <c r="AL23" s="6">
        <v>45973</v>
      </c>
      <c r="AM23" s="4"/>
      <c r="AN23" s="4">
        <v>0</v>
      </c>
      <c r="AO23" s="4"/>
      <c r="AP23" s="4">
        <v>138</v>
      </c>
      <c r="AQ23" s="4">
        <v>0</v>
      </c>
      <c r="AR23" s="4">
        <v>138</v>
      </c>
      <c r="AS23" s="4">
        <v>0</v>
      </c>
      <c r="AT23" s="4" t="s">
        <v>49</v>
      </c>
    </row>
    <row r="24" spans="1:46" ht="60" x14ac:dyDescent="0.25">
      <c r="A24" s="4">
        <v>40589956</v>
      </c>
      <c r="B24" s="4" t="str">
        <f>""</f>
        <v/>
      </c>
      <c r="C24" s="4" t="str">
        <f>"170400700001"</f>
        <v>170400700001</v>
      </c>
      <c r="D24" s="4">
        <v>93</v>
      </c>
      <c r="E24" s="4" t="s">
        <v>47</v>
      </c>
      <c r="F24" s="4" t="s">
        <v>118</v>
      </c>
      <c r="G24" s="4" t="str">
        <f>"BY2009860280"</f>
        <v>BY2009860280</v>
      </c>
      <c r="H24" s="4" t="str">
        <f>"LAVALIER BY-M1"</f>
        <v>LAVALIER BY-M1</v>
      </c>
      <c r="I24" s="4" t="str">
        <f>"BOYA"</f>
        <v>BOYA</v>
      </c>
      <c r="J24" s="4"/>
      <c r="K24" s="4"/>
      <c r="L24" s="4">
        <v>33</v>
      </c>
      <c r="M24" s="4"/>
      <c r="N24" s="4" t="s">
        <v>113</v>
      </c>
      <c r="O24" s="4" t="s">
        <v>114</v>
      </c>
      <c r="P24" s="4" t="s">
        <v>121</v>
      </c>
      <c r="Q24" s="4" t="s">
        <v>54</v>
      </c>
      <c r="R24" s="4" t="s">
        <v>55</v>
      </c>
      <c r="S24" s="4" t="s">
        <v>56</v>
      </c>
      <c r="T24" s="4">
        <v>6</v>
      </c>
      <c r="U24" s="4" t="s">
        <v>57</v>
      </c>
      <c r="V24" s="4">
        <v>97459</v>
      </c>
      <c r="W24" s="4" t="s">
        <v>58</v>
      </c>
      <c r="X24" s="4">
        <v>1717662512</v>
      </c>
      <c r="Y24" s="4" t="s">
        <v>71</v>
      </c>
      <c r="Z24" s="4" t="s">
        <v>55</v>
      </c>
      <c r="AA24" s="4" t="s">
        <v>116</v>
      </c>
      <c r="AB24" s="4" t="s">
        <v>61</v>
      </c>
      <c r="AC24" s="4" t="s">
        <v>73</v>
      </c>
      <c r="AD24" s="4" t="s">
        <v>62</v>
      </c>
      <c r="AE24" s="4" t="s">
        <v>55</v>
      </c>
      <c r="AF24" s="4" t="s">
        <v>55</v>
      </c>
      <c r="AG24" s="4" t="s">
        <v>122</v>
      </c>
      <c r="AH24" s="4">
        <v>0</v>
      </c>
      <c r="AI24" s="4" t="s">
        <v>64</v>
      </c>
      <c r="AJ24" s="4" t="s">
        <v>49</v>
      </c>
      <c r="AK24" s="5">
        <v>45973</v>
      </c>
      <c r="AL24" s="6">
        <v>45973</v>
      </c>
      <c r="AM24" s="4"/>
      <c r="AN24" s="4">
        <v>0</v>
      </c>
      <c r="AO24" s="4"/>
      <c r="AP24" s="4">
        <v>33</v>
      </c>
      <c r="AQ24" s="4">
        <v>0</v>
      </c>
      <c r="AR24" s="4">
        <v>33</v>
      </c>
      <c r="AS24" s="4">
        <v>0</v>
      </c>
      <c r="AT24" s="4" t="s">
        <v>49</v>
      </c>
    </row>
    <row r="25" spans="1:46" ht="60" x14ac:dyDescent="0.25">
      <c r="A25" s="4">
        <v>40589960</v>
      </c>
      <c r="B25" s="4" t="str">
        <f>""</f>
        <v/>
      </c>
      <c r="C25" s="4" t="str">
        <f>"170400700001"</f>
        <v>170400700001</v>
      </c>
      <c r="D25" s="4">
        <v>94</v>
      </c>
      <c r="E25" s="4" t="s">
        <v>47</v>
      </c>
      <c r="F25" s="4" t="s">
        <v>118</v>
      </c>
      <c r="G25" s="4" t="str">
        <f>"BY2009864595"</f>
        <v>BY2009864595</v>
      </c>
      <c r="H25" s="4" t="str">
        <f>"LAVALIER BY-M1"</f>
        <v>LAVALIER BY-M1</v>
      </c>
      <c r="I25" s="4" t="str">
        <f>"BOYA"</f>
        <v>BOYA</v>
      </c>
      <c r="J25" s="4"/>
      <c r="K25" s="4"/>
      <c r="L25" s="4">
        <v>33</v>
      </c>
      <c r="M25" s="4"/>
      <c r="N25" s="4" t="s">
        <v>113</v>
      </c>
      <c r="O25" s="4" t="s">
        <v>114</v>
      </c>
      <c r="P25" s="4" t="s">
        <v>121</v>
      </c>
      <c r="Q25" s="4" t="s">
        <v>54</v>
      </c>
      <c r="R25" s="4" t="s">
        <v>55</v>
      </c>
      <c r="S25" s="4" t="s">
        <v>56</v>
      </c>
      <c r="T25" s="4">
        <v>6</v>
      </c>
      <c r="U25" s="4" t="s">
        <v>57</v>
      </c>
      <c r="V25" s="4">
        <v>97459</v>
      </c>
      <c r="W25" s="4" t="s">
        <v>58</v>
      </c>
      <c r="X25" s="4">
        <v>1717662512</v>
      </c>
      <c r="Y25" s="4" t="s">
        <v>71</v>
      </c>
      <c r="Z25" s="4" t="s">
        <v>55</v>
      </c>
      <c r="AA25" s="4" t="s">
        <v>116</v>
      </c>
      <c r="AB25" s="4" t="s">
        <v>61</v>
      </c>
      <c r="AC25" s="4" t="s">
        <v>73</v>
      </c>
      <c r="AD25" s="4" t="s">
        <v>62</v>
      </c>
      <c r="AE25" s="4" t="s">
        <v>55</v>
      </c>
      <c r="AF25" s="4" t="s">
        <v>55</v>
      </c>
      <c r="AG25" s="4" t="s">
        <v>123</v>
      </c>
      <c r="AH25" s="4">
        <v>0</v>
      </c>
      <c r="AI25" s="4" t="s">
        <v>64</v>
      </c>
      <c r="AJ25" s="4" t="s">
        <v>49</v>
      </c>
      <c r="AK25" s="5">
        <v>45973</v>
      </c>
      <c r="AL25" s="6">
        <v>45973</v>
      </c>
      <c r="AM25" s="4"/>
      <c r="AN25" s="4">
        <v>0</v>
      </c>
      <c r="AO25" s="4"/>
      <c r="AP25" s="4">
        <v>33</v>
      </c>
      <c r="AQ25" s="4">
        <v>0</v>
      </c>
      <c r="AR25" s="4">
        <v>33</v>
      </c>
      <c r="AS25" s="4">
        <v>0</v>
      </c>
      <c r="AT25" s="4" t="s">
        <v>49</v>
      </c>
    </row>
    <row r="26" spans="1:46" ht="60" x14ac:dyDescent="0.25">
      <c r="A26" s="4">
        <v>40589867</v>
      </c>
      <c r="B26" s="4" t="str">
        <f>""</f>
        <v/>
      </c>
      <c r="C26" s="4" t="str">
        <f>"170400370001"</f>
        <v>170400370001</v>
      </c>
      <c r="D26" s="4">
        <v>90</v>
      </c>
      <c r="E26" s="4" t="s">
        <v>47</v>
      </c>
      <c r="F26" s="4" t="s">
        <v>124</v>
      </c>
      <c r="G26" s="4" t="str">
        <f>"302073006547"</f>
        <v>302073006547</v>
      </c>
      <c r="H26" s="4" t="str">
        <f>"REBEL SL3"</f>
        <v>REBEL SL3</v>
      </c>
      <c r="I26" s="4" t="str">
        <f>"CANON"</f>
        <v>CANON</v>
      </c>
      <c r="J26" s="4"/>
      <c r="K26" s="4"/>
      <c r="L26" s="4">
        <v>900</v>
      </c>
      <c r="M26" s="4"/>
      <c r="N26" s="4" t="s">
        <v>113</v>
      </c>
      <c r="O26" s="4" t="s">
        <v>114</v>
      </c>
      <c r="P26" s="4" t="s">
        <v>125</v>
      </c>
      <c r="Q26" s="4" t="s">
        <v>54</v>
      </c>
      <c r="R26" s="4" t="s">
        <v>55</v>
      </c>
      <c r="S26" s="4" t="s">
        <v>56</v>
      </c>
      <c r="T26" s="4">
        <v>6</v>
      </c>
      <c r="U26" s="4" t="s">
        <v>57</v>
      </c>
      <c r="V26" s="4">
        <v>97459</v>
      </c>
      <c r="W26" s="4" t="s">
        <v>58</v>
      </c>
      <c r="X26" s="4">
        <v>1717662512</v>
      </c>
      <c r="Y26" s="4" t="s">
        <v>71</v>
      </c>
      <c r="Z26" s="4" t="s">
        <v>55</v>
      </c>
      <c r="AA26" s="4" t="s">
        <v>116</v>
      </c>
      <c r="AB26" s="4" t="s">
        <v>61</v>
      </c>
      <c r="AC26" s="4" t="s">
        <v>73</v>
      </c>
      <c r="AD26" s="4" t="s">
        <v>62</v>
      </c>
      <c r="AE26" s="4" t="s">
        <v>55</v>
      </c>
      <c r="AF26" s="4" t="s">
        <v>55</v>
      </c>
      <c r="AG26" s="4" t="s">
        <v>126</v>
      </c>
      <c r="AH26" s="4">
        <v>0</v>
      </c>
      <c r="AI26" s="4" t="s">
        <v>64</v>
      </c>
      <c r="AJ26" s="4" t="s">
        <v>49</v>
      </c>
      <c r="AK26" s="5">
        <v>45973</v>
      </c>
      <c r="AL26" s="6">
        <v>45973</v>
      </c>
      <c r="AM26" s="4"/>
      <c r="AN26" s="4">
        <v>0</v>
      </c>
      <c r="AO26" s="4"/>
      <c r="AP26" s="4">
        <v>900</v>
      </c>
      <c r="AQ26" s="4">
        <v>0</v>
      </c>
      <c r="AR26" s="4">
        <v>900</v>
      </c>
      <c r="AS26" s="4">
        <v>0</v>
      </c>
      <c r="AT26" s="4" t="s">
        <v>49</v>
      </c>
    </row>
    <row r="27" spans="1:46" ht="75" x14ac:dyDescent="0.25">
      <c r="A27" s="4">
        <v>40875419</v>
      </c>
      <c r="B27" s="4" t="str">
        <f>""</f>
        <v/>
      </c>
      <c r="C27" s="4" t="str">
        <f t="shared" ref="C27:C36" si="3">"170700080001"</f>
        <v>170700080001</v>
      </c>
      <c r="D27" s="4">
        <v>139</v>
      </c>
      <c r="E27" s="4" t="s">
        <v>47</v>
      </c>
      <c r="F27" s="4" t="s">
        <v>127</v>
      </c>
      <c r="G27" s="4" t="str">
        <f>"50026B7283AFBCFF"</f>
        <v>50026B7283AFBCFF</v>
      </c>
      <c r="H27" s="4" t="str">
        <f t="shared" ref="H27:H36" si="4">"Disco Duro SSD PCIe NVMe, 1TB"</f>
        <v>Disco Duro SSD PCIe NVMe, 1TB</v>
      </c>
      <c r="I27" s="4" t="str">
        <f t="shared" ref="I27:I36" si="5">"KINGSTON"</f>
        <v>KINGSTON</v>
      </c>
      <c r="J27" s="4"/>
      <c r="K27" s="4"/>
      <c r="L27" s="4">
        <v>90</v>
      </c>
      <c r="M27" s="4"/>
      <c r="N27" s="4" t="s">
        <v>128</v>
      </c>
      <c r="O27" s="4" t="s">
        <v>69</v>
      </c>
      <c r="P27" s="4" t="s">
        <v>129</v>
      </c>
      <c r="Q27" s="4" t="s">
        <v>54</v>
      </c>
      <c r="R27" s="4" t="s">
        <v>55</v>
      </c>
      <c r="S27" s="4" t="s">
        <v>56</v>
      </c>
      <c r="T27" s="4">
        <v>6</v>
      </c>
      <c r="U27" s="4" t="s">
        <v>57</v>
      </c>
      <c r="V27" s="4">
        <v>97459</v>
      </c>
      <c r="W27" s="4" t="s">
        <v>58</v>
      </c>
      <c r="X27" s="4">
        <v>401265012</v>
      </c>
      <c r="Y27" s="4" t="s">
        <v>130</v>
      </c>
      <c r="Z27" s="4" t="s">
        <v>55</v>
      </c>
      <c r="AA27" s="4" t="s">
        <v>60</v>
      </c>
      <c r="AB27" s="4" t="s">
        <v>61</v>
      </c>
      <c r="AC27" s="4">
        <v>453</v>
      </c>
      <c r="AD27" s="4" t="s">
        <v>62</v>
      </c>
      <c r="AE27" s="4" t="s">
        <v>55</v>
      </c>
      <c r="AF27" s="4" t="s">
        <v>55</v>
      </c>
      <c r="AG27" s="4" t="s">
        <v>131</v>
      </c>
      <c r="AH27" s="4">
        <v>531407</v>
      </c>
      <c r="AI27" s="4" t="s">
        <v>64</v>
      </c>
      <c r="AJ27" s="4" t="s">
        <v>49</v>
      </c>
      <c r="AK27" s="5">
        <v>46003</v>
      </c>
      <c r="AL27" s="6">
        <v>46003</v>
      </c>
      <c r="AM27" s="6">
        <v>46003</v>
      </c>
      <c r="AN27" s="4">
        <v>0</v>
      </c>
      <c r="AO27" s="4"/>
      <c r="AP27" s="4">
        <v>90</v>
      </c>
      <c r="AQ27" s="4">
        <v>0</v>
      </c>
      <c r="AR27" s="4">
        <v>90</v>
      </c>
      <c r="AS27" s="4">
        <v>0</v>
      </c>
      <c r="AT27" s="4" t="s">
        <v>49</v>
      </c>
    </row>
    <row r="28" spans="1:46" ht="75" x14ac:dyDescent="0.25">
      <c r="A28" s="4">
        <v>40875420</v>
      </c>
      <c r="B28" s="4" t="str">
        <f>""</f>
        <v/>
      </c>
      <c r="C28" s="4" t="str">
        <f t="shared" si="3"/>
        <v>170700080001</v>
      </c>
      <c r="D28" s="4">
        <v>139</v>
      </c>
      <c r="E28" s="4" t="s">
        <v>47</v>
      </c>
      <c r="F28" s="4" t="s">
        <v>127</v>
      </c>
      <c r="G28" s="4" t="str">
        <f>"50026B7283AFBDA9"</f>
        <v>50026B7283AFBDA9</v>
      </c>
      <c r="H28" s="4" t="str">
        <f t="shared" si="4"/>
        <v>Disco Duro SSD PCIe NVMe, 1TB</v>
      </c>
      <c r="I28" s="4" t="str">
        <f t="shared" si="5"/>
        <v>KINGSTON</v>
      </c>
      <c r="J28" s="4"/>
      <c r="K28" s="4"/>
      <c r="L28" s="4">
        <v>90</v>
      </c>
      <c r="M28" s="4"/>
      <c r="N28" s="4" t="s">
        <v>128</v>
      </c>
      <c r="O28" s="4" t="s">
        <v>69</v>
      </c>
      <c r="P28" s="4" t="s">
        <v>129</v>
      </c>
      <c r="Q28" s="4" t="s">
        <v>54</v>
      </c>
      <c r="R28" s="4" t="s">
        <v>55</v>
      </c>
      <c r="S28" s="4" t="s">
        <v>56</v>
      </c>
      <c r="T28" s="4">
        <v>6</v>
      </c>
      <c r="U28" s="4" t="s">
        <v>57</v>
      </c>
      <c r="V28" s="4">
        <v>97459</v>
      </c>
      <c r="W28" s="4" t="s">
        <v>58</v>
      </c>
      <c r="X28" s="4">
        <v>401265012</v>
      </c>
      <c r="Y28" s="4" t="s">
        <v>130</v>
      </c>
      <c r="Z28" s="4" t="s">
        <v>55</v>
      </c>
      <c r="AA28" s="4" t="s">
        <v>60</v>
      </c>
      <c r="AB28" s="4" t="s">
        <v>61</v>
      </c>
      <c r="AC28" s="4">
        <v>453</v>
      </c>
      <c r="AD28" s="4" t="s">
        <v>62</v>
      </c>
      <c r="AE28" s="4" t="s">
        <v>55</v>
      </c>
      <c r="AF28" s="4" t="s">
        <v>55</v>
      </c>
      <c r="AG28" s="4" t="s">
        <v>131</v>
      </c>
      <c r="AH28" s="4">
        <v>531407</v>
      </c>
      <c r="AI28" s="4" t="s">
        <v>64</v>
      </c>
      <c r="AJ28" s="4" t="s">
        <v>49</v>
      </c>
      <c r="AK28" s="5">
        <v>46003</v>
      </c>
      <c r="AL28" s="6">
        <v>46003</v>
      </c>
      <c r="AM28" s="6">
        <v>46003</v>
      </c>
      <c r="AN28" s="4">
        <v>0</v>
      </c>
      <c r="AO28" s="4"/>
      <c r="AP28" s="4">
        <v>90</v>
      </c>
      <c r="AQ28" s="4">
        <v>0</v>
      </c>
      <c r="AR28" s="4">
        <v>90</v>
      </c>
      <c r="AS28" s="4">
        <v>0</v>
      </c>
      <c r="AT28" s="4" t="s">
        <v>49</v>
      </c>
    </row>
    <row r="29" spans="1:46" ht="75" x14ac:dyDescent="0.25">
      <c r="A29" s="4">
        <v>40875421</v>
      </c>
      <c r="B29" s="4" t="str">
        <f>""</f>
        <v/>
      </c>
      <c r="C29" s="4" t="str">
        <f t="shared" si="3"/>
        <v>170700080001</v>
      </c>
      <c r="D29" s="4">
        <v>139</v>
      </c>
      <c r="E29" s="4" t="s">
        <v>47</v>
      </c>
      <c r="F29" s="4" t="s">
        <v>127</v>
      </c>
      <c r="G29" s="4" t="str">
        <f>"50026B7283AFBD19"</f>
        <v>50026B7283AFBD19</v>
      </c>
      <c r="H29" s="4" t="str">
        <f t="shared" si="4"/>
        <v>Disco Duro SSD PCIe NVMe, 1TB</v>
      </c>
      <c r="I29" s="4" t="str">
        <f t="shared" si="5"/>
        <v>KINGSTON</v>
      </c>
      <c r="J29" s="4"/>
      <c r="K29" s="4"/>
      <c r="L29" s="4">
        <v>90</v>
      </c>
      <c r="M29" s="4"/>
      <c r="N29" s="4" t="s">
        <v>128</v>
      </c>
      <c r="O29" s="4" t="s">
        <v>69</v>
      </c>
      <c r="P29" s="4" t="s">
        <v>129</v>
      </c>
      <c r="Q29" s="4" t="s">
        <v>54</v>
      </c>
      <c r="R29" s="4" t="s">
        <v>55</v>
      </c>
      <c r="S29" s="4" t="s">
        <v>56</v>
      </c>
      <c r="T29" s="4">
        <v>6</v>
      </c>
      <c r="U29" s="4" t="s">
        <v>57</v>
      </c>
      <c r="V29" s="4">
        <v>97459</v>
      </c>
      <c r="W29" s="4" t="s">
        <v>58</v>
      </c>
      <c r="X29" s="4">
        <v>401265012</v>
      </c>
      <c r="Y29" s="4" t="s">
        <v>130</v>
      </c>
      <c r="Z29" s="4" t="s">
        <v>55</v>
      </c>
      <c r="AA29" s="4" t="s">
        <v>60</v>
      </c>
      <c r="AB29" s="4" t="s">
        <v>61</v>
      </c>
      <c r="AC29" s="4">
        <v>453</v>
      </c>
      <c r="AD29" s="4" t="s">
        <v>62</v>
      </c>
      <c r="AE29" s="4" t="s">
        <v>55</v>
      </c>
      <c r="AF29" s="4" t="s">
        <v>55</v>
      </c>
      <c r="AG29" s="4" t="s">
        <v>131</v>
      </c>
      <c r="AH29" s="4">
        <v>531407</v>
      </c>
      <c r="AI29" s="4" t="s">
        <v>64</v>
      </c>
      <c r="AJ29" s="4" t="s">
        <v>49</v>
      </c>
      <c r="AK29" s="5">
        <v>46003</v>
      </c>
      <c r="AL29" s="6">
        <v>46003</v>
      </c>
      <c r="AM29" s="6">
        <v>46003</v>
      </c>
      <c r="AN29" s="4">
        <v>0</v>
      </c>
      <c r="AO29" s="4"/>
      <c r="AP29" s="4">
        <v>90</v>
      </c>
      <c r="AQ29" s="4">
        <v>0</v>
      </c>
      <c r="AR29" s="4">
        <v>90</v>
      </c>
      <c r="AS29" s="4">
        <v>0</v>
      </c>
      <c r="AT29" s="4" t="s">
        <v>49</v>
      </c>
    </row>
    <row r="30" spans="1:46" ht="75" x14ac:dyDescent="0.25">
      <c r="A30" s="4">
        <v>40875422</v>
      </c>
      <c r="B30" s="4" t="str">
        <f>""</f>
        <v/>
      </c>
      <c r="C30" s="4" t="str">
        <f t="shared" si="3"/>
        <v>170700080001</v>
      </c>
      <c r="D30" s="4">
        <v>139</v>
      </c>
      <c r="E30" s="4" t="s">
        <v>47</v>
      </c>
      <c r="F30" s="4" t="s">
        <v>127</v>
      </c>
      <c r="G30" s="4" t="str">
        <f>"50026B7283AFBD52"</f>
        <v>50026B7283AFBD52</v>
      </c>
      <c r="H30" s="4" t="str">
        <f t="shared" si="4"/>
        <v>Disco Duro SSD PCIe NVMe, 1TB</v>
      </c>
      <c r="I30" s="4" t="str">
        <f t="shared" si="5"/>
        <v>KINGSTON</v>
      </c>
      <c r="J30" s="4"/>
      <c r="K30" s="4"/>
      <c r="L30" s="4">
        <v>90</v>
      </c>
      <c r="M30" s="4"/>
      <c r="N30" s="4" t="s">
        <v>128</v>
      </c>
      <c r="O30" s="4" t="s">
        <v>69</v>
      </c>
      <c r="P30" s="4" t="s">
        <v>129</v>
      </c>
      <c r="Q30" s="4" t="s">
        <v>54</v>
      </c>
      <c r="R30" s="4" t="s">
        <v>55</v>
      </c>
      <c r="S30" s="4" t="s">
        <v>56</v>
      </c>
      <c r="T30" s="4">
        <v>6</v>
      </c>
      <c r="U30" s="4" t="s">
        <v>57</v>
      </c>
      <c r="V30" s="4">
        <v>97459</v>
      </c>
      <c r="W30" s="4" t="s">
        <v>58</v>
      </c>
      <c r="X30" s="4">
        <v>401265012</v>
      </c>
      <c r="Y30" s="4" t="s">
        <v>130</v>
      </c>
      <c r="Z30" s="4" t="s">
        <v>55</v>
      </c>
      <c r="AA30" s="4" t="s">
        <v>60</v>
      </c>
      <c r="AB30" s="4" t="s">
        <v>61</v>
      </c>
      <c r="AC30" s="4">
        <v>453</v>
      </c>
      <c r="AD30" s="4" t="s">
        <v>62</v>
      </c>
      <c r="AE30" s="4" t="s">
        <v>55</v>
      </c>
      <c r="AF30" s="4" t="s">
        <v>55</v>
      </c>
      <c r="AG30" s="4" t="s">
        <v>131</v>
      </c>
      <c r="AH30" s="4">
        <v>531407</v>
      </c>
      <c r="AI30" s="4" t="s">
        <v>64</v>
      </c>
      <c r="AJ30" s="4" t="s">
        <v>49</v>
      </c>
      <c r="AK30" s="5">
        <v>46003</v>
      </c>
      <c r="AL30" s="6">
        <v>46003</v>
      </c>
      <c r="AM30" s="6">
        <v>46003</v>
      </c>
      <c r="AN30" s="4">
        <v>0</v>
      </c>
      <c r="AO30" s="4"/>
      <c r="AP30" s="4">
        <v>90</v>
      </c>
      <c r="AQ30" s="4">
        <v>0</v>
      </c>
      <c r="AR30" s="4">
        <v>90</v>
      </c>
      <c r="AS30" s="4">
        <v>0</v>
      </c>
      <c r="AT30" s="4" t="s">
        <v>49</v>
      </c>
    </row>
    <row r="31" spans="1:46" ht="75" x14ac:dyDescent="0.25">
      <c r="A31" s="4">
        <v>40875423</v>
      </c>
      <c r="B31" s="4" t="str">
        <f>""</f>
        <v/>
      </c>
      <c r="C31" s="4" t="str">
        <f t="shared" si="3"/>
        <v>170700080001</v>
      </c>
      <c r="D31" s="4">
        <v>139</v>
      </c>
      <c r="E31" s="4" t="s">
        <v>47</v>
      </c>
      <c r="F31" s="4" t="s">
        <v>127</v>
      </c>
      <c r="G31" s="4" t="str">
        <f>"50026B7283AFBCFE"</f>
        <v>50026B7283AFBCFE</v>
      </c>
      <c r="H31" s="4" t="str">
        <f t="shared" si="4"/>
        <v>Disco Duro SSD PCIe NVMe, 1TB</v>
      </c>
      <c r="I31" s="4" t="str">
        <f t="shared" si="5"/>
        <v>KINGSTON</v>
      </c>
      <c r="J31" s="4"/>
      <c r="K31" s="4"/>
      <c r="L31" s="4">
        <v>90</v>
      </c>
      <c r="M31" s="4"/>
      <c r="N31" s="4" t="s">
        <v>128</v>
      </c>
      <c r="O31" s="4" t="s">
        <v>69</v>
      </c>
      <c r="P31" s="4" t="s">
        <v>129</v>
      </c>
      <c r="Q31" s="4" t="s">
        <v>54</v>
      </c>
      <c r="R31" s="4" t="s">
        <v>55</v>
      </c>
      <c r="S31" s="4" t="s">
        <v>56</v>
      </c>
      <c r="T31" s="4">
        <v>6</v>
      </c>
      <c r="U31" s="4" t="s">
        <v>57</v>
      </c>
      <c r="V31" s="4">
        <v>97459</v>
      </c>
      <c r="W31" s="4" t="s">
        <v>58</v>
      </c>
      <c r="X31" s="4">
        <v>401265012</v>
      </c>
      <c r="Y31" s="4" t="s">
        <v>130</v>
      </c>
      <c r="Z31" s="4" t="s">
        <v>55</v>
      </c>
      <c r="AA31" s="4" t="s">
        <v>60</v>
      </c>
      <c r="AB31" s="4" t="s">
        <v>61</v>
      </c>
      <c r="AC31" s="4">
        <v>453</v>
      </c>
      <c r="AD31" s="4" t="s">
        <v>62</v>
      </c>
      <c r="AE31" s="4" t="s">
        <v>55</v>
      </c>
      <c r="AF31" s="4" t="s">
        <v>55</v>
      </c>
      <c r="AG31" s="4" t="s">
        <v>131</v>
      </c>
      <c r="AH31" s="4">
        <v>531407</v>
      </c>
      <c r="AI31" s="4" t="s">
        <v>64</v>
      </c>
      <c r="AJ31" s="4" t="s">
        <v>49</v>
      </c>
      <c r="AK31" s="5">
        <v>46003</v>
      </c>
      <c r="AL31" s="6">
        <v>46003</v>
      </c>
      <c r="AM31" s="6">
        <v>46003</v>
      </c>
      <c r="AN31" s="4">
        <v>0</v>
      </c>
      <c r="AO31" s="4"/>
      <c r="AP31" s="4">
        <v>90</v>
      </c>
      <c r="AQ31" s="4">
        <v>0</v>
      </c>
      <c r="AR31" s="4">
        <v>90</v>
      </c>
      <c r="AS31" s="4">
        <v>0</v>
      </c>
      <c r="AT31" s="4" t="s">
        <v>49</v>
      </c>
    </row>
    <row r="32" spans="1:46" ht="75" x14ac:dyDescent="0.25">
      <c r="A32" s="4">
        <v>40875424</v>
      </c>
      <c r="B32" s="4" t="str">
        <f>""</f>
        <v/>
      </c>
      <c r="C32" s="4" t="str">
        <f t="shared" si="3"/>
        <v>170700080001</v>
      </c>
      <c r="D32" s="4">
        <v>139</v>
      </c>
      <c r="E32" s="4" t="s">
        <v>47</v>
      </c>
      <c r="F32" s="4" t="s">
        <v>127</v>
      </c>
      <c r="G32" s="4" t="str">
        <f>"50026B7283AFBD01"</f>
        <v>50026B7283AFBD01</v>
      </c>
      <c r="H32" s="4" t="str">
        <f t="shared" si="4"/>
        <v>Disco Duro SSD PCIe NVMe, 1TB</v>
      </c>
      <c r="I32" s="4" t="str">
        <f t="shared" si="5"/>
        <v>KINGSTON</v>
      </c>
      <c r="J32" s="4"/>
      <c r="K32" s="4"/>
      <c r="L32" s="4">
        <v>90</v>
      </c>
      <c r="M32" s="4"/>
      <c r="N32" s="4" t="s">
        <v>128</v>
      </c>
      <c r="O32" s="4" t="s">
        <v>69</v>
      </c>
      <c r="P32" s="4" t="s">
        <v>129</v>
      </c>
      <c r="Q32" s="4" t="s">
        <v>54</v>
      </c>
      <c r="R32" s="4" t="s">
        <v>55</v>
      </c>
      <c r="S32" s="4" t="s">
        <v>56</v>
      </c>
      <c r="T32" s="4">
        <v>6</v>
      </c>
      <c r="U32" s="4" t="s">
        <v>57</v>
      </c>
      <c r="V32" s="4">
        <v>97459</v>
      </c>
      <c r="W32" s="4" t="s">
        <v>58</v>
      </c>
      <c r="X32" s="4">
        <v>401265012</v>
      </c>
      <c r="Y32" s="4" t="s">
        <v>130</v>
      </c>
      <c r="Z32" s="4" t="s">
        <v>55</v>
      </c>
      <c r="AA32" s="4" t="s">
        <v>60</v>
      </c>
      <c r="AB32" s="4" t="s">
        <v>61</v>
      </c>
      <c r="AC32" s="4">
        <v>453</v>
      </c>
      <c r="AD32" s="4" t="s">
        <v>62</v>
      </c>
      <c r="AE32" s="4" t="s">
        <v>55</v>
      </c>
      <c r="AF32" s="4" t="s">
        <v>55</v>
      </c>
      <c r="AG32" s="4" t="s">
        <v>131</v>
      </c>
      <c r="AH32" s="4">
        <v>531407</v>
      </c>
      <c r="AI32" s="4" t="s">
        <v>64</v>
      </c>
      <c r="AJ32" s="4" t="s">
        <v>49</v>
      </c>
      <c r="AK32" s="5">
        <v>46003</v>
      </c>
      <c r="AL32" s="6">
        <v>46003</v>
      </c>
      <c r="AM32" s="6">
        <v>46003</v>
      </c>
      <c r="AN32" s="4">
        <v>0</v>
      </c>
      <c r="AO32" s="4"/>
      <c r="AP32" s="4">
        <v>90</v>
      </c>
      <c r="AQ32" s="4">
        <v>0</v>
      </c>
      <c r="AR32" s="4">
        <v>90</v>
      </c>
      <c r="AS32" s="4">
        <v>0</v>
      </c>
      <c r="AT32" s="4" t="s">
        <v>49</v>
      </c>
    </row>
    <row r="33" spans="1:46" ht="75" x14ac:dyDescent="0.25">
      <c r="A33" s="4">
        <v>40875425</v>
      </c>
      <c r="B33" s="4" t="str">
        <f>""</f>
        <v/>
      </c>
      <c r="C33" s="4" t="str">
        <f t="shared" si="3"/>
        <v>170700080001</v>
      </c>
      <c r="D33" s="4">
        <v>139</v>
      </c>
      <c r="E33" s="4" t="s">
        <v>47</v>
      </c>
      <c r="F33" s="4" t="s">
        <v>127</v>
      </c>
      <c r="G33" s="4" t="str">
        <f>"50026B7283AFBCFB"</f>
        <v>50026B7283AFBCFB</v>
      </c>
      <c r="H33" s="4" t="str">
        <f t="shared" si="4"/>
        <v>Disco Duro SSD PCIe NVMe, 1TB</v>
      </c>
      <c r="I33" s="4" t="str">
        <f t="shared" si="5"/>
        <v>KINGSTON</v>
      </c>
      <c r="J33" s="4"/>
      <c r="K33" s="4"/>
      <c r="L33" s="4">
        <v>90</v>
      </c>
      <c r="M33" s="4"/>
      <c r="N33" s="4" t="s">
        <v>128</v>
      </c>
      <c r="O33" s="4" t="s">
        <v>69</v>
      </c>
      <c r="P33" s="4" t="s">
        <v>129</v>
      </c>
      <c r="Q33" s="4" t="s">
        <v>54</v>
      </c>
      <c r="R33" s="4" t="s">
        <v>55</v>
      </c>
      <c r="S33" s="4" t="s">
        <v>56</v>
      </c>
      <c r="T33" s="4">
        <v>6</v>
      </c>
      <c r="U33" s="4" t="s">
        <v>57</v>
      </c>
      <c r="V33" s="4">
        <v>97459</v>
      </c>
      <c r="W33" s="4" t="s">
        <v>58</v>
      </c>
      <c r="X33" s="4">
        <v>401265012</v>
      </c>
      <c r="Y33" s="4" t="s">
        <v>130</v>
      </c>
      <c r="Z33" s="4" t="s">
        <v>55</v>
      </c>
      <c r="AA33" s="4" t="s">
        <v>60</v>
      </c>
      <c r="AB33" s="4" t="s">
        <v>61</v>
      </c>
      <c r="AC33" s="4">
        <v>453</v>
      </c>
      <c r="AD33" s="4" t="s">
        <v>62</v>
      </c>
      <c r="AE33" s="4" t="s">
        <v>55</v>
      </c>
      <c r="AF33" s="4" t="s">
        <v>55</v>
      </c>
      <c r="AG33" s="4" t="s">
        <v>131</v>
      </c>
      <c r="AH33" s="4">
        <v>531407</v>
      </c>
      <c r="AI33" s="4" t="s">
        <v>64</v>
      </c>
      <c r="AJ33" s="4" t="s">
        <v>49</v>
      </c>
      <c r="AK33" s="5">
        <v>46003</v>
      </c>
      <c r="AL33" s="6">
        <v>46003</v>
      </c>
      <c r="AM33" s="6">
        <v>46003</v>
      </c>
      <c r="AN33" s="4">
        <v>0</v>
      </c>
      <c r="AO33" s="4"/>
      <c r="AP33" s="4">
        <v>90</v>
      </c>
      <c r="AQ33" s="4">
        <v>0</v>
      </c>
      <c r="AR33" s="4">
        <v>90</v>
      </c>
      <c r="AS33" s="4">
        <v>0</v>
      </c>
      <c r="AT33" s="4" t="s">
        <v>49</v>
      </c>
    </row>
    <row r="34" spans="1:46" ht="75" x14ac:dyDescent="0.25">
      <c r="A34" s="4">
        <v>40875426</v>
      </c>
      <c r="B34" s="4" t="str">
        <f>""</f>
        <v/>
      </c>
      <c r="C34" s="4" t="str">
        <f t="shared" si="3"/>
        <v>170700080001</v>
      </c>
      <c r="D34" s="4">
        <v>139</v>
      </c>
      <c r="E34" s="4" t="s">
        <v>47</v>
      </c>
      <c r="F34" s="4" t="s">
        <v>127</v>
      </c>
      <c r="G34" s="4" t="str">
        <f>"50026B7283AFBDA8"</f>
        <v>50026B7283AFBDA8</v>
      </c>
      <c r="H34" s="4" t="str">
        <f t="shared" si="4"/>
        <v>Disco Duro SSD PCIe NVMe, 1TB</v>
      </c>
      <c r="I34" s="4" t="str">
        <f t="shared" si="5"/>
        <v>KINGSTON</v>
      </c>
      <c r="J34" s="4"/>
      <c r="K34" s="4"/>
      <c r="L34" s="4">
        <v>90</v>
      </c>
      <c r="M34" s="4"/>
      <c r="N34" s="4" t="s">
        <v>128</v>
      </c>
      <c r="O34" s="4" t="s">
        <v>69</v>
      </c>
      <c r="P34" s="4" t="s">
        <v>129</v>
      </c>
      <c r="Q34" s="4" t="s">
        <v>54</v>
      </c>
      <c r="R34" s="4" t="s">
        <v>55</v>
      </c>
      <c r="S34" s="4" t="s">
        <v>56</v>
      </c>
      <c r="T34" s="4">
        <v>6</v>
      </c>
      <c r="U34" s="4" t="s">
        <v>57</v>
      </c>
      <c r="V34" s="4">
        <v>97459</v>
      </c>
      <c r="W34" s="4" t="s">
        <v>58</v>
      </c>
      <c r="X34" s="4">
        <v>401265012</v>
      </c>
      <c r="Y34" s="4" t="s">
        <v>130</v>
      </c>
      <c r="Z34" s="4" t="s">
        <v>55</v>
      </c>
      <c r="AA34" s="4" t="s">
        <v>60</v>
      </c>
      <c r="AB34" s="4" t="s">
        <v>61</v>
      </c>
      <c r="AC34" s="4">
        <v>453</v>
      </c>
      <c r="AD34" s="4" t="s">
        <v>62</v>
      </c>
      <c r="AE34" s="4" t="s">
        <v>55</v>
      </c>
      <c r="AF34" s="4" t="s">
        <v>55</v>
      </c>
      <c r="AG34" s="4" t="s">
        <v>131</v>
      </c>
      <c r="AH34" s="4">
        <v>531407</v>
      </c>
      <c r="AI34" s="4" t="s">
        <v>64</v>
      </c>
      <c r="AJ34" s="4" t="s">
        <v>49</v>
      </c>
      <c r="AK34" s="5">
        <v>46003</v>
      </c>
      <c r="AL34" s="6">
        <v>46003</v>
      </c>
      <c r="AM34" s="6">
        <v>46003</v>
      </c>
      <c r="AN34" s="4">
        <v>0</v>
      </c>
      <c r="AO34" s="4"/>
      <c r="AP34" s="4">
        <v>90</v>
      </c>
      <c r="AQ34" s="4">
        <v>0</v>
      </c>
      <c r="AR34" s="4">
        <v>90</v>
      </c>
      <c r="AS34" s="4">
        <v>0</v>
      </c>
      <c r="AT34" s="4" t="s">
        <v>49</v>
      </c>
    </row>
    <row r="35" spans="1:46" ht="75" x14ac:dyDescent="0.25">
      <c r="A35" s="4">
        <v>40875427</v>
      </c>
      <c r="B35" s="4" t="str">
        <f>""</f>
        <v/>
      </c>
      <c r="C35" s="4" t="str">
        <f t="shared" si="3"/>
        <v>170700080001</v>
      </c>
      <c r="D35" s="4">
        <v>139</v>
      </c>
      <c r="E35" s="4" t="s">
        <v>47</v>
      </c>
      <c r="F35" s="4" t="s">
        <v>127</v>
      </c>
      <c r="G35" s="4" t="str">
        <f>"50026B7283AFBCEB"</f>
        <v>50026B7283AFBCEB</v>
      </c>
      <c r="H35" s="4" t="str">
        <f t="shared" si="4"/>
        <v>Disco Duro SSD PCIe NVMe, 1TB</v>
      </c>
      <c r="I35" s="4" t="str">
        <f t="shared" si="5"/>
        <v>KINGSTON</v>
      </c>
      <c r="J35" s="4"/>
      <c r="K35" s="4"/>
      <c r="L35" s="4">
        <v>90</v>
      </c>
      <c r="M35" s="4"/>
      <c r="N35" s="4" t="s">
        <v>128</v>
      </c>
      <c r="O35" s="4" t="s">
        <v>69</v>
      </c>
      <c r="P35" s="4" t="s">
        <v>129</v>
      </c>
      <c r="Q35" s="4" t="s">
        <v>54</v>
      </c>
      <c r="R35" s="4" t="s">
        <v>55</v>
      </c>
      <c r="S35" s="4" t="s">
        <v>56</v>
      </c>
      <c r="T35" s="4">
        <v>6</v>
      </c>
      <c r="U35" s="4" t="s">
        <v>57</v>
      </c>
      <c r="V35" s="4">
        <v>97459</v>
      </c>
      <c r="W35" s="4" t="s">
        <v>58</v>
      </c>
      <c r="X35" s="4">
        <v>401265012</v>
      </c>
      <c r="Y35" s="4" t="s">
        <v>130</v>
      </c>
      <c r="Z35" s="4" t="s">
        <v>55</v>
      </c>
      <c r="AA35" s="4" t="s">
        <v>60</v>
      </c>
      <c r="AB35" s="4" t="s">
        <v>61</v>
      </c>
      <c r="AC35" s="4">
        <v>453</v>
      </c>
      <c r="AD35" s="4" t="s">
        <v>62</v>
      </c>
      <c r="AE35" s="4" t="s">
        <v>55</v>
      </c>
      <c r="AF35" s="4" t="s">
        <v>55</v>
      </c>
      <c r="AG35" s="4" t="s">
        <v>131</v>
      </c>
      <c r="AH35" s="4">
        <v>531407</v>
      </c>
      <c r="AI35" s="4" t="s">
        <v>64</v>
      </c>
      <c r="AJ35" s="4" t="s">
        <v>49</v>
      </c>
      <c r="AK35" s="5">
        <v>46003</v>
      </c>
      <c r="AL35" s="6">
        <v>46003</v>
      </c>
      <c r="AM35" s="6">
        <v>46003</v>
      </c>
      <c r="AN35" s="4">
        <v>0</v>
      </c>
      <c r="AO35" s="4"/>
      <c r="AP35" s="4">
        <v>90</v>
      </c>
      <c r="AQ35" s="4">
        <v>0</v>
      </c>
      <c r="AR35" s="4">
        <v>90</v>
      </c>
      <c r="AS35" s="4">
        <v>0</v>
      </c>
      <c r="AT35" s="4" t="s">
        <v>49</v>
      </c>
    </row>
    <row r="36" spans="1:46" ht="75" x14ac:dyDescent="0.25">
      <c r="A36" s="4">
        <v>40875428</v>
      </c>
      <c r="B36" s="4" t="str">
        <f>""</f>
        <v/>
      </c>
      <c r="C36" s="4" t="str">
        <f t="shared" si="3"/>
        <v>170700080001</v>
      </c>
      <c r="D36" s="4">
        <v>139</v>
      </c>
      <c r="E36" s="4" t="s">
        <v>47</v>
      </c>
      <c r="F36" s="4" t="s">
        <v>127</v>
      </c>
      <c r="G36" s="4" t="str">
        <f>"50026B7283AFBCF5"</f>
        <v>50026B7283AFBCF5</v>
      </c>
      <c r="H36" s="4" t="str">
        <f t="shared" si="4"/>
        <v>Disco Duro SSD PCIe NVMe, 1TB</v>
      </c>
      <c r="I36" s="4" t="str">
        <f t="shared" si="5"/>
        <v>KINGSTON</v>
      </c>
      <c r="J36" s="4"/>
      <c r="K36" s="4"/>
      <c r="L36" s="4">
        <v>90</v>
      </c>
      <c r="M36" s="4"/>
      <c r="N36" s="4" t="s">
        <v>128</v>
      </c>
      <c r="O36" s="4" t="s">
        <v>69</v>
      </c>
      <c r="P36" s="4" t="s">
        <v>129</v>
      </c>
      <c r="Q36" s="4" t="s">
        <v>54</v>
      </c>
      <c r="R36" s="4" t="s">
        <v>55</v>
      </c>
      <c r="S36" s="4" t="s">
        <v>56</v>
      </c>
      <c r="T36" s="4">
        <v>6</v>
      </c>
      <c r="U36" s="4" t="s">
        <v>57</v>
      </c>
      <c r="V36" s="4">
        <v>97459</v>
      </c>
      <c r="W36" s="4" t="s">
        <v>58</v>
      </c>
      <c r="X36" s="4">
        <v>401265012</v>
      </c>
      <c r="Y36" s="4" t="s">
        <v>130</v>
      </c>
      <c r="Z36" s="4" t="s">
        <v>55</v>
      </c>
      <c r="AA36" s="4" t="s">
        <v>60</v>
      </c>
      <c r="AB36" s="4" t="s">
        <v>61</v>
      </c>
      <c r="AC36" s="4">
        <v>453</v>
      </c>
      <c r="AD36" s="4" t="s">
        <v>62</v>
      </c>
      <c r="AE36" s="4" t="s">
        <v>55</v>
      </c>
      <c r="AF36" s="4" t="s">
        <v>55</v>
      </c>
      <c r="AG36" s="4" t="s">
        <v>131</v>
      </c>
      <c r="AH36" s="4">
        <v>531407</v>
      </c>
      <c r="AI36" s="4" t="s">
        <v>64</v>
      </c>
      <c r="AJ36" s="4" t="s">
        <v>49</v>
      </c>
      <c r="AK36" s="5">
        <v>46003</v>
      </c>
      <c r="AL36" s="6">
        <v>46003</v>
      </c>
      <c r="AM36" s="6">
        <v>46003</v>
      </c>
      <c r="AN36" s="4">
        <v>0</v>
      </c>
      <c r="AO36" s="4"/>
      <c r="AP36" s="4">
        <v>90</v>
      </c>
      <c r="AQ36" s="4">
        <v>0</v>
      </c>
      <c r="AR36" s="4">
        <v>90</v>
      </c>
      <c r="AS36" s="4">
        <v>0</v>
      </c>
      <c r="AT36" s="4" t="s">
        <v>49</v>
      </c>
    </row>
    <row r="37" spans="1:46" ht="75" x14ac:dyDescent="0.25">
      <c r="A37" s="4">
        <v>35650865</v>
      </c>
      <c r="B37" s="4" t="str">
        <f>"18870656"</f>
        <v>18870656</v>
      </c>
      <c r="C37" s="4" t="str">
        <f>"300800140003"</f>
        <v>300800140003</v>
      </c>
      <c r="D37" s="4">
        <v>425297</v>
      </c>
      <c r="E37" s="4" t="s">
        <v>132</v>
      </c>
      <c r="F37" s="4" t="s">
        <v>133</v>
      </c>
      <c r="G37" s="4" t="str">
        <f>"18870656"</f>
        <v>18870656</v>
      </c>
      <c r="H37" s="4" t="str">
        <f>"CAJONERA RECTANGULAR DE MADERA Y METAL CON 2 SERVICIOS"</f>
        <v>CAJONERA RECTANGULAR DE MADERA Y METAL CON 2 SERVICIOS</v>
      </c>
      <c r="I37" s="4" t="str">
        <f>"MEGA MUEBLES DE OFICINA / TIENE CERRADURA"</f>
        <v>MEGA MUEBLES DE OFICINA / TIENE CERRADURA</v>
      </c>
      <c r="J37" s="4" t="s">
        <v>49</v>
      </c>
      <c r="K37" s="4"/>
      <c r="L37" s="4">
        <v>93</v>
      </c>
      <c r="M37" s="4" t="s">
        <v>49</v>
      </c>
      <c r="N37" s="4" t="s">
        <v>113</v>
      </c>
      <c r="O37" s="4" t="s">
        <v>134</v>
      </c>
      <c r="P37" s="4" t="s">
        <v>135</v>
      </c>
      <c r="Q37" s="4" t="s">
        <v>54</v>
      </c>
      <c r="R37" s="4" t="s">
        <v>55</v>
      </c>
      <c r="S37" s="4" t="s">
        <v>56</v>
      </c>
      <c r="T37" s="4">
        <v>6</v>
      </c>
      <c r="U37" s="4" t="s">
        <v>57</v>
      </c>
      <c r="V37" s="4">
        <v>97459</v>
      </c>
      <c r="W37" s="4" t="s">
        <v>58</v>
      </c>
      <c r="X37" s="4">
        <v>401265012</v>
      </c>
      <c r="Y37" s="4" t="s">
        <v>130</v>
      </c>
      <c r="Z37" s="4" t="s">
        <v>55</v>
      </c>
      <c r="AA37" s="4" t="s">
        <v>136</v>
      </c>
      <c r="AB37" s="4" t="s">
        <v>137</v>
      </c>
      <c r="AC37" s="4" t="s">
        <v>73</v>
      </c>
      <c r="AD37" s="4" t="s">
        <v>73</v>
      </c>
      <c r="AE37" s="4" t="s">
        <v>73</v>
      </c>
      <c r="AF37" s="4" t="s">
        <v>55</v>
      </c>
      <c r="AG37" s="4" t="s">
        <v>138</v>
      </c>
      <c r="AH37" s="4">
        <v>840103</v>
      </c>
      <c r="AI37" s="4" t="s">
        <v>139</v>
      </c>
      <c r="AJ37" s="4" t="s">
        <v>55</v>
      </c>
      <c r="AK37" s="5">
        <v>44874.711168981485</v>
      </c>
      <c r="AL37" s="6">
        <v>36517</v>
      </c>
      <c r="AM37" s="6">
        <v>40166</v>
      </c>
      <c r="AN37" s="4">
        <v>10</v>
      </c>
      <c r="AO37" s="6">
        <v>40166</v>
      </c>
      <c r="AP37" s="4">
        <v>93</v>
      </c>
      <c r="AQ37" s="4" t="s">
        <v>140</v>
      </c>
      <c r="AR37" s="4" t="s">
        <v>140</v>
      </c>
      <c r="AS37" s="4" t="s">
        <v>141</v>
      </c>
      <c r="AT37" s="4" t="s">
        <v>49</v>
      </c>
    </row>
    <row r="38" spans="1:46" ht="30" x14ac:dyDescent="0.25">
      <c r="A38" s="4">
        <v>35650869</v>
      </c>
      <c r="B38" s="4" t="str">
        <f>"18870660"</f>
        <v>18870660</v>
      </c>
      <c r="C38" s="4" t="str">
        <f>"300100130006"</f>
        <v>300100130006</v>
      </c>
      <c r="D38" s="4">
        <v>425297</v>
      </c>
      <c r="E38" s="4" t="s">
        <v>132</v>
      </c>
      <c r="F38" s="4" t="s">
        <v>142</v>
      </c>
      <c r="G38" s="4" t="str">
        <f>"18870660"</f>
        <v>18870660</v>
      </c>
      <c r="H38" s="4" t="str">
        <f>"18870660"</f>
        <v>18870660</v>
      </c>
      <c r="I38" s="4" t="str">
        <f>"SIN MARCA"</f>
        <v>SIN MARCA</v>
      </c>
      <c r="J38" s="4" t="s">
        <v>49</v>
      </c>
      <c r="K38" s="4"/>
      <c r="L38" s="4">
        <v>410</v>
      </c>
      <c r="M38" s="4" t="s">
        <v>49</v>
      </c>
      <c r="N38" s="4" t="s">
        <v>143</v>
      </c>
      <c r="O38" s="4"/>
      <c r="P38" s="4" t="s">
        <v>135</v>
      </c>
      <c r="Q38" s="4" t="s">
        <v>54</v>
      </c>
      <c r="R38" s="4" t="s">
        <v>55</v>
      </c>
      <c r="S38" s="4" t="s">
        <v>56</v>
      </c>
      <c r="T38" s="4">
        <v>6</v>
      </c>
      <c r="U38" s="4" t="s">
        <v>57</v>
      </c>
      <c r="V38" s="4">
        <v>97459</v>
      </c>
      <c r="W38" s="4" t="s">
        <v>58</v>
      </c>
      <c r="X38" s="4">
        <v>1717662512</v>
      </c>
      <c r="Y38" s="4" t="s">
        <v>71</v>
      </c>
      <c r="Z38" s="4" t="s">
        <v>55</v>
      </c>
      <c r="AA38" s="4" t="s">
        <v>136</v>
      </c>
      <c r="AB38" s="4" t="s">
        <v>137</v>
      </c>
      <c r="AC38" s="4" t="s">
        <v>73</v>
      </c>
      <c r="AD38" s="4" t="s">
        <v>73</v>
      </c>
      <c r="AE38" s="4" t="s">
        <v>73</v>
      </c>
      <c r="AF38" s="4" t="s">
        <v>55</v>
      </c>
      <c r="AG38" s="4" t="s">
        <v>144</v>
      </c>
      <c r="AH38" s="4">
        <v>840103</v>
      </c>
      <c r="AI38" s="4" t="s">
        <v>139</v>
      </c>
      <c r="AJ38" s="4" t="s">
        <v>55</v>
      </c>
      <c r="AK38" s="5">
        <v>44874.711168981485</v>
      </c>
      <c r="AL38" s="6">
        <v>36517</v>
      </c>
      <c r="AM38" s="6">
        <v>40166</v>
      </c>
      <c r="AN38" s="4">
        <v>10</v>
      </c>
      <c r="AO38" s="6">
        <v>40166</v>
      </c>
      <c r="AP38" s="4">
        <v>410</v>
      </c>
      <c r="AQ38" s="4">
        <v>41</v>
      </c>
      <c r="AR38" s="4">
        <v>41</v>
      </c>
      <c r="AS38" s="4">
        <v>369</v>
      </c>
      <c r="AT38" s="4" t="s">
        <v>49</v>
      </c>
    </row>
    <row r="39" spans="1:46" ht="30" x14ac:dyDescent="0.25">
      <c r="A39" s="4">
        <v>35650922</v>
      </c>
      <c r="B39" s="4" t="str">
        <f>"21346880"</f>
        <v>21346880</v>
      </c>
      <c r="C39" s="4" t="str">
        <f>"300100130006"</f>
        <v>300100130006</v>
      </c>
      <c r="D39" s="4">
        <v>425297</v>
      </c>
      <c r="E39" s="4" t="s">
        <v>132</v>
      </c>
      <c r="F39" s="4" t="s">
        <v>142</v>
      </c>
      <c r="G39" s="4" t="str">
        <f>"21346880"</f>
        <v>21346880</v>
      </c>
      <c r="H39" s="4" t="str">
        <f>"21346880"</f>
        <v>21346880</v>
      </c>
      <c r="I39" s="4" t="str">
        <f>"SIN MARCA"</f>
        <v>SIN MARCA</v>
      </c>
      <c r="J39" s="4" t="s">
        <v>49</v>
      </c>
      <c r="K39" s="4"/>
      <c r="L39" s="4" t="s">
        <v>145</v>
      </c>
      <c r="M39" s="4" t="s">
        <v>49</v>
      </c>
      <c r="N39" s="4" t="s">
        <v>146</v>
      </c>
      <c r="O39" s="4"/>
      <c r="P39" s="4" t="s">
        <v>135</v>
      </c>
      <c r="Q39" s="4" t="s">
        <v>54</v>
      </c>
      <c r="R39" s="4" t="s">
        <v>55</v>
      </c>
      <c r="S39" s="4" t="s">
        <v>56</v>
      </c>
      <c r="T39" s="4">
        <v>6</v>
      </c>
      <c r="U39" s="4" t="s">
        <v>57</v>
      </c>
      <c r="V39" s="4">
        <v>97459</v>
      </c>
      <c r="W39" s="4" t="s">
        <v>58</v>
      </c>
      <c r="X39" s="4">
        <v>1719443135</v>
      </c>
      <c r="Y39" s="4" t="s">
        <v>109</v>
      </c>
      <c r="Z39" s="4" t="s">
        <v>55</v>
      </c>
      <c r="AA39" s="4" t="s">
        <v>136</v>
      </c>
      <c r="AB39" s="4" t="s">
        <v>137</v>
      </c>
      <c r="AC39" s="4" t="s">
        <v>73</v>
      </c>
      <c r="AD39" s="4" t="s">
        <v>73</v>
      </c>
      <c r="AE39" s="4" t="s">
        <v>73</v>
      </c>
      <c r="AF39" s="4" t="s">
        <v>55</v>
      </c>
      <c r="AG39" s="4" t="s">
        <v>142</v>
      </c>
      <c r="AH39" s="4">
        <v>840103</v>
      </c>
      <c r="AI39" s="4" t="s">
        <v>139</v>
      </c>
      <c r="AJ39" s="4" t="s">
        <v>49</v>
      </c>
      <c r="AK39" s="5">
        <v>44874.711180555554</v>
      </c>
      <c r="AL39" s="6">
        <v>42278</v>
      </c>
      <c r="AM39" s="6">
        <v>45927</v>
      </c>
      <c r="AN39" s="4">
        <v>10</v>
      </c>
      <c r="AO39" s="6">
        <v>45927</v>
      </c>
      <c r="AP39" s="4" t="s">
        <v>145</v>
      </c>
      <c r="AQ39" s="4" t="s">
        <v>147</v>
      </c>
      <c r="AR39" s="4" t="s">
        <v>147</v>
      </c>
      <c r="AS39" s="4" t="s">
        <v>148</v>
      </c>
      <c r="AT39" s="4" t="s">
        <v>49</v>
      </c>
    </row>
    <row r="40" spans="1:46" ht="30" x14ac:dyDescent="0.25">
      <c r="A40" s="4">
        <v>35650923</v>
      </c>
      <c r="B40" s="4" t="str">
        <f>"21346881"</f>
        <v>21346881</v>
      </c>
      <c r="C40" s="4" t="str">
        <f>"300100130006"</f>
        <v>300100130006</v>
      </c>
      <c r="D40" s="4">
        <v>425297</v>
      </c>
      <c r="E40" s="4" t="s">
        <v>132</v>
      </c>
      <c r="F40" s="4" t="s">
        <v>142</v>
      </c>
      <c r="G40" s="4" t="str">
        <f>"21346881"</f>
        <v>21346881</v>
      </c>
      <c r="H40" s="4" t="str">
        <f>"21346881"</f>
        <v>21346881</v>
      </c>
      <c r="I40" s="4" t="str">
        <f>"SIN MARCA"</f>
        <v>SIN MARCA</v>
      </c>
      <c r="J40" s="4" t="s">
        <v>49</v>
      </c>
      <c r="K40" s="4"/>
      <c r="L40" s="4" t="s">
        <v>145</v>
      </c>
      <c r="M40" s="4" t="s">
        <v>49</v>
      </c>
      <c r="N40" s="4" t="s">
        <v>146</v>
      </c>
      <c r="O40" s="4"/>
      <c r="P40" s="4" t="s">
        <v>135</v>
      </c>
      <c r="Q40" s="4" t="s">
        <v>54</v>
      </c>
      <c r="R40" s="4" t="s">
        <v>55</v>
      </c>
      <c r="S40" s="4" t="s">
        <v>56</v>
      </c>
      <c r="T40" s="4">
        <v>6</v>
      </c>
      <c r="U40" s="4" t="s">
        <v>57</v>
      </c>
      <c r="V40" s="4">
        <v>97459</v>
      </c>
      <c r="W40" s="4" t="s">
        <v>58</v>
      </c>
      <c r="X40" s="4">
        <v>401265012</v>
      </c>
      <c r="Y40" s="4" t="s">
        <v>130</v>
      </c>
      <c r="Z40" s="4" t="s">
        <v>55</v>
      </c>
      <c r="AA40" s="4" t="s">
        <v>136</v>
      </c>
      <c r="AB40" s="4" t="s">
        <v>137</v>
      </c>
      <c r="AC40" s="4" t="s">
        <v>73</v>
      </c>
      <c r="AD40" s="4" t="s">
        <v>73</v>
      </c>
      <c r="AE40" s="4" t="s">
        <v>73</v>
      </c>
      <c r="AF40" s="4" t="s">
        <v>55</v>
      </c>
      <c r="AG40" s="4" t="s">
        <v>142</v>
      </c>
      <c r="AH40" s="4">
        <v>840103</v>
      </c>
      <c r="AI40" s="4" t="s">
        <v>139</v>
      </c>
      <c r="AJ40" s="4" t="s">
        <v>49</v>
      </c>
      <c r="AK40" s="5">
        <v>44874.711180555554</v>
      </c>
      <c r="AL40" s="6">
        <v>42278</v>
      </c>
      <c r="AM40" s="6">
        <v>45927</v>
      </c>
      <c r="AN40" s="4">
        <v>10</v>
      </c>
      <c r="AO40" s="6">
        <v>45927</v>
      </c>
      <c r="AP40" s="4" t="s">
        <v>145</v>
      </c>
      <c r="AQ40" s="4" t="s">
        <v>147</v>
      </c>
      <c r="AR40" s="4" t="s">
        <v>147</v>
      </c>
      <c r="AS40" s="4" t="s">
        <v>148</v>
      </c>
      <c r="AT40" s="4" t="s">
        <v>49</v>
      </c>
    </row>
    <row r="41" spans="1:46" ht="30" x14ac:dyDescent="0.25">
      <c r="A41" s="4">
        <v>35650924</v>
      </c>
      <c r="B41" s="4" t="str">
        <f>"21346882"</f>
        <v>21346882</v>
      </c>
      <c r="C41" s="4" t="str">
        <f>"300600010001"</f>
        <v>300600010001</v>
      </c>
      <c r="D41" s="4">
        <v>425297</v>
      </c>
      <c r="E41" s="4" t="s">
        <v>132</v>
      </c>
      <c r="F41" s="4" t="s">
        <v>149</v>
      </c>
      <c r="G41" s="4" t="str">
        <f>"21346882"</f>
        <v>21346882</v>
      </c>
      <c r="H41" s="4" t="str">
        <f>"21346882"</f>
        <v>21346882</v>
      </c>
      <c r="I41" s="4" t="str">
        <f>"SMMO460"</f>
        <v>SMMO460</v>
      </c>
      <c r="J41" s="4" t="s">
        <v>49</v>
      </c>
      <c r="K41" s="4"/>
      <c r="L41" s="4" t="s">
        <v>150</v>
      </c>
      <c r="M41" s="4" t="s">
        <v>49</v>
      </c>
      <c r="N41" s="4" t="s">
        <v>151</v>
      </c>
      <c r="O41" s="4"/>
      <c r="P41" s="4" t="s">
        <v>135</v>
      </c>
      <c r="Q41" s="4" t="s">
        <v>54</v>
      </c>
      <c r="R41" s="4" t="s">
        <v>55</v>
      </c>
      <c r="S41" s="4" t="s">
        <v>56</v>
      </c>
      <c r="T41" s="4">
        <v>6</v>
      </c>
      <c r="U41" s="4" t="s">
        <v>57</v>
      </c>
      <c r="V41" s="4">
        <v>97459</v>
      </c>
      <c r="W41" s="4" t="s">
        <v>58</v>
      </c>
      <c r="X41" s="4">
        <v>1726517327</v>
      </c>
      <c r="Y41" s="4" t="s">
        <v>152</v>
      </c>
      <c r="Z41" s="4" t="s">
        <v>55</v>
      </c>
      <c r="AA41" s="4" t="s">
        <v>136</v>
      </c>
      <c r="AB41" s="4" t="s">
        <v>137</v>
      </c>
      <c r="AC41" s="4" t="s">
        <v>73</v>
      </c>
      <c r="AD41" s="4" t="s">
        <v>73</v>
      </c>
      <c r="AE41" s="4" t="s">
        <v>73</v>
      </c>
      <c r="AF41" s="4" t="s">
        <v>55</v>
      </c>
      <c r="AG41" s="4" t="s">
        <v>153</v>
      </c>
      <c r="AH41" s="4">
        <v>840103</v>
      </c>
      <c r="AI41" s="4" t="s">
        <v>139</v>
      </c>
      <c r="AJ41" s="4" t="s">
        <v>55</v>
      </c>
      <c r="AK41" s="5">
        <v>44874.711180555554</v>
      </c>
      <c r="AL41" s="6">
        <v>41617</v>
      </c>
      <c r="AM41" s="6">
        <v>45266</v>
      </c>
      <c r="AN41" s="4">
        <v>10</v>
      </c>
      <c r="AO41" s="6">
        <v>45266</v>
      </c>
      <c r="AP41" s="4" t="s">
        <v>150</v>
      </c>
      <c r="AQ41" s="4" t="s">
        <v>154</v>
      </c>
      <c r="AR41" s="4" t="s">
        <v>154</v>
      </c>
      <c r="AS41" s="4" t="s">
        <v>155</v>
      </c>
      <c r="AT41" s="4" t="s">
        <v>49</v>
      </c>
    </row>
    <row r="42" spans="1:46" ht="30" x14ac:dyDescent="0.25">
      <c r="A42" s="4">
        <v>35650926</v>
      </c>
      <c r="B42" s="4" t="str">
        <f>"21346884"</f>
        <v>21346884</v>
      </c>
      <c r="C42" s="4" t="str">
        <f>"300100130006"</f>
        <v>300100130006</v>
      </c>
      <c r="D42" s="4">
        <v>425297</v>
      </c>
      <c r="E42" s="4" t="s">
        <v>132</v>
      </c>
      <c r="F42" s="4" t="s">
        <v>142</v>
      </c>
      <c r="G42" s="4" t="str">
        <f>"21346884"</f>
        <v>21346884</v>
      </c>
      <c r="H42" s="4" t="str">
        <f>"21346884"</f>
        <v>21346884</v>
      </c>
      <c r="I42" s="4" t="str">
        <f>"SMMO26"</f>
        <v>SMMO26</v>
      </c>
      <c r="J42" s="4" t="s">
        <v>49</v>
      </c>
      <c r="K42" s="4"/>
      <c r="L42" s="4">
        <v>1456</v>
      </c>
      <c r="M42" s="4" t="s">
        <v>49</v>
      </c>
      <c r="N42" s="4" t="s">
        <v>156</v>
      </c>
      <c r="O42" s="4"/>
      <c r="P42" s="4" t="s">
        <v>135</v>
      </c>
      <c r="Q42" s="4" t="s">
        <v>54</v>
      </c>
      <c r="R42" s="4" t="s">
        <v>55</v>
      </c>
      <c r="S42" s="4" t="s">
        <v>56</v>
      </c>
      <c r="T42" s="4">
        <v>6</v>
      </c>
      <c r="U42" s="4" t="s">
        <v>57</v>
      </c>
      <c r="V42" s="4">
        <v>97459</v>
      </c>
      <c r="W42" s="4" t="s">
        <v>58</v>
      </c>
      <c r="X42" s="4">
        <v>1709796500</v>
      </c>
      <c r="Y42" s="4" t="s">
        <v>157</v>
      </c>
      <c r="Z42" s="4" t="s">
        <v>55</v>
      </c>
      <c r="AA42" s="4" t="s">
        <v>136</v>
      </c>
      <c r="AB42" s="4" t="s">
        <v>137</v>
      </c>
      <c r="AC42" s="4" t="s">
        <v>73</v>
      </c>
      <c r="AD42" s="4" t="s">
        <v>73</v>
      </c>
      <c r="AE42" s="4" t="s">
        <v>73</v>
      </c>
      <c r="AF42" s="4" t="s">
        <v>55</v>
      </c>
      <c r="AG42" s="4" t="s">
        <v>142</v>
      </c>
      <c r="AH42" s="4">
        <v>840103</v>
      </c>
      <c r="AI42" s="4" t="s">
        <v>139</v>
      </c>
      <c r="AJ42" s="4" t="s">
        <v>49</v>
      </c>
      <c r="AK42" s="5">
        <v>44874.711180555554</v>
      </c>
      <c r="AL42" s="6">
        <v>41617</v>
      </c>
      <c r="AM42" s="6">
        <v>45266</v>
      </c>
      <c r="AN42" s="4">
        <v>10</v>
      </c>
      <c r="AO42" s="6">
        <v>45266</v>
      </c>
      <c r="AP42" s="4">
        <v>1456</v>
      </c>
      <c r="AQ42" s="4" t="s">
        <v>158</v>
      </c>
      <c r="AR42" s="4" t="s">
        <v>158</v>
      </c>
      <c r="AS42" s="4" t="s">
        <v>159</v>
      </c>
      <c r="AT42" s="4" t="s">
        <v>49</v>
      </c>
    </row>
    <row r="43" spans="1:46" ht="105" x14ac:dyDescent="0.25">
      <c r="A43" s="4">
        <v>39250319</v>
      </c>
      <c r="B43" s="4" t="str">
        <f>""</f>
        <v/>
      </c>
      <c r="C43" s="4" t="str">
        <f>"300100400003"</f>
        <v>300100400003</v>
      </c>
      <c r="D43" s="4">
        <v>14</v>
      </c>
      <c r="E43" s="4" t="s">
        <v>132</v>
      </c>
      <c r="F43" s="4" t="s">
        <v>160</v>
      </c>
      <c r="G43" s="4" t="str">
        <f>"39250319"</f>
        <v>39250319</v>
      </c>
      <c r="H43" s="4" t="str">
        <f>"MESA DE REUNIONES CIRCULAR 1900MM DE DIAMETRO 4P"</f>
        <v>MESA DE REUNIONES CIRCULAR 1900MM DE DIAMETRO 4P</v>
      </c>
      <c r="I43" s="4" t="str">
        <f t="shared" ref="I43:I62" si="6">"N/A"</f>
        <v>N/A</v>
      </c>
      <c r="J43" s="4" t="s">
        <v>49</v>
      </c>
      <c r="K43" s="4"/>
      <c r="L43" s="4">
        <v>116</v>
      </c>
      <c r="M43" s="4" t="s">
        <v>49</v>
      </c>
      <c r="N43" s="4" t="s">
        <v>161</v>
      </c>
      <c r="O43" s="4" t="s">
        <v>162</v>
      </c>
      <c r="P43" s="4" t="s">
        <v>163</v>
      </c>
      <c r="Q43" s="4" t="s">
        <v>54</v>
      </c>
      <c r="R43" s="4" t="s">
        <v>55</v>
      </c>
      <c r="S43" s="4" t="s">
        <v>56</v>
      </c>
      <c r="T43" s="4">
        <v>6</v>
      </c>
      <c r="U43" s="4" t="s">
        <v>57</v>
      </c>
      <c r="V43" s="4">
        <v>97459</v>
      </c>
      <c r="W43" s="4" t="s">
        <v>58</v>
      </c>
      <c r="X43" s="4">
        <v>103542908</v>
      </c>
      <c r="Y43" s="4" t="s">
        <v>164</v>
      </c>
      <c r="Z43" s="4" t="s">
        <v>55</v>
      </c>
      <c r="AA43" s="4" t="s">
        <v>60</v>
      </c>
      <c r="AB43" s="4" t="s">
        <v>61</v>
      </c>
      <c r="AC43" s="4">
        <v>443</v>
      </c>
      <c r="AD43" s="4" t="s">
        <v>62</v>
      </c>
      <c r="AE43" s="4" t="s">
        <v>55</v>
      </c>
      <c r="AF43" s="4" t="s">
        <v>55</v>
      </c>
      <c r="AG43" s="4" t="s">
        <v>165</v>
      </c>
      <c r="AH43" s="4">
        <v>840103</v>
      </c>
      <c r="AI43" s="4" t="s">
        <v>139</v>
      </c>
      <c r="AJ43" s="4" t="s">
        <v>55</v>
      </c>
      <c r="AK43" s="5">
        <v>45609</v>
      </c>
      <c r="AL43" s="6">
        <v>45609</v>
      </c>
      <c r="AM43" s="6">
        <v>46081</v>
      </c>
      <c r="AN43" s="4">
        <v>10</v>
      </c>
      <c r="AO43" s="6">
        <v>49258</v>
      </c>
      <c r="AP43" s="4">
        <v>116</v>
      </c>
      <c r="AQ43" s="4" t="s">
        <v>166</v>
      </c>
      <c r="AR43" s="4" t="s">
        <v>167</v>
      </c>
      <c r="AS43" s="4" t="s">
        <v>168</v>
      </c>
      <c r="AT43" s="4" t="s">
        <v>49</v>
      </c>
    </row>
    <row r="44" spans="1:46" ht="105" x14ac:dyDescent="0.25">
      <c r="A44" s="4">
        <v>39250320</v>
      </c>
      <c r="B44" s="4" t="str">
        <f>""</f>
        <v/>
      </c>
      <c r="C44" s="4" t="str">
        <f>"300100400003"</f>
        <v>300100400003</v>
      </c>
      <c r="D44" s="4">
        <v>14</v>
      </c>
      <c r="E44" s="4" t="s">
        <v>132</v>
      </c>
      <c r="F44" s="4" t="s">
        <v>160</v>
      </c>
      <c r="G44" s="4" t="str">
        <f>"39250320"</f>
        <v>39250320</v>
      </c>
      <c r="H44" s="4" t="str">
        <f>"MESA DE REUNIONES CIRCULAR 1900MM DE DIAMETRO 4P"</f>
        <v>MESA DE REUNIONES CIRCULAR 1900MM DE DIAMETRO 4P</v>
      </c>
      <c r="I44" s="4" t="str">
        <f t="shared" si="6"/>
        <v>N/A</v>
      </c>
      <c r="J44" s="4" t="s">
        <v>49</v>
      </c>
      <c r="K44" s="4"/>
      <c r="L44" s="4">
        <v>116</v>
      </c>
      <c r="M44" s="4" t="s">
        <v>49</v>
      </c>
      <c r="N44" s="4" t="s">
        <v>161</v>
      </c>
      <c r="O44" s="4" t="s">
        <v>162</v>
      </c>
      <c r="P44" s="4" t="s">
        <v>163</v>
      </c>
      <c r="Q44" s="4" t="s">
        <v>54</v>
      </c>
      <c r="R44" s="4" t="s">
        <v>55</v>
      </c>
      <c r="S44" s="4" t="s">
        <v>56</v>
      </c>
      <c r="T44" s="4">
        <v>6</v>
      </c>
      <c r="U44" s="4" t="s">
        <v>57</v>
      </c>
      <c r="V44" s="4">
        <v>97459</v>
      </c>
      <c r="W44" s="4" t="s">
        <v>58</v>
      </c>
      <c r="X44" s="4">
        <v>1711995694</v>
      </c>
      <c r="Y44" s="4" t="s">
        <v>169</v>
      </c>
      <c r="Z44" s="4" t="s">
        <v>55</v>
      </c>
      <c r="AA44" s="4" t="s">
        <v>60</v>
      </c>
      <c r="AB44" s="4" t="s">
        <v>61</v>
      </c>
      <c r="AC44" s="4">
        <v>443</v>
      </c>
      <c r="AD44" s="4" t="s">
        <v>62</v>
      </c>
      <c r="AE44" s="4" t="s">
        <v>55</v>
      </c>
      <c r="AF44" s="4" t="s">
        <v>55</v>
      </c>
      <c r="AG44" s="4" t="s">
        <v>165</v>
      </c>
      <c r="AH44" s="4">
        <v>840103</v>
      </c>
      <c r="AI44" s="4" t="s">
        <v>139</v>
      </c>
      <c r="AJ44" s="4" t="s">
        <v>55</v>
      </c>
      <c r="AK44" s="5">
        <v>45609</v>
      </c>
      <c r="AL44" s="6">
        <v>45610</v>
      </c>
      <c r="AM44" s="6">
        <v>46081</v>
      </c>
      <c r="AN44" s="4">
        <v>10</v>
      </c>
      <c r="AO44" s="6">
        <v>49259</v>
      </c>
      <c r="AP44" s="4">
        <v>116</v>
      </c>
      <c r="AQ44" s="4" t="s">
        <v>166</v>
      </c>
      <c r="AR44" s="4" t="s">
        <v>170</v>
      </c>
      <c r="AS44" s="4" t="s">
        <v>171</v>
      </c>
      <c r="AT44" s="4" t="s">
        <v>49</v>
      </c>
    </row>
    <row r="45" spans="1:46" ht="105" x14ac:dyDescent="0.25">
      <c r="A45" s="4">
        <v>39250321</v>
      </c>
      <c r="B45" s="4" t="str">
        <f>""</f>
        <v/>
      </c>
      <c r="C45" s="4" t="str">
        <f>"300100400003"</f>
        <v>300100400003</v>
      </c>
      <c r="D45" s="4">
        <v>14</v>
      </c>
      <c r="E45" s="4" t="s">
        <v>132</v>
      </c>
      <c r="F45" s="4" t="s">
        <v>160</v>
      </c>
      <c r="G45" s="4" t="str">
        <f>"39250321"</f>
        <v>39250321</v>
      </c>
      <c r="H45" s="4" t="str">
        <f>"MESA DE REUNIONES CIRCULAR 1900MM DE DIAMETRO 4P"</f>
        <v>MESA DE REUNIONES CIRCULAR 1900MM DE DIAMETRO 4P</v>
      </c>
      <c r="I45" s="4" t="str">
        <f t="shared" si="6"/>
        <v>N/A</v>
      </c>
      <c r="J45" s="4" t="s">
        <v>49</v>
      </c>
      <c r="K45" s="4"/>
      <c r="L45" s="4">
        <v>116</v>
      </c>
      <c r="M45" s="4" t="s">
        <v>49</v>
      </c>
      <c r="N45" s="4" t="s">
        <v>161</v>
      </c>
      <c r="O45" s="4" t="s">
        <v>162</v>
      </c>
      <c r="P45" s="4" t="s">
        <v>163</v>
      </c>
      <c r="Q45" s="4" t="s">
        <v>54</v>
      </c>
      <c r="R45" s="4" t="s">
        <v>55</v>
      </c>
      <c r="S45" s="4" t="s">
        <v>56</v>
      </c>
      <c r="T45" s="4">
        <v>6</v>
      </c>
      <c r="U45" s="4" t="s">
        <v>57</v>
      </c>
      <c r="V45" s="4">
        <v>97459</v>
      </c>
      <c r="W45" s="4" t="s">
        <v>58</v>
      </c>
      <c r="X45" s="4">
        <v>102936168</v>
      </c>
      <c r="Y45" s="4" t="s">
        <v>59</v>
      </c>
      <c r="Z45" s="4" t="s">
        <v>55</v>
      </c>
      <c r="AA45" s="4" t="s">
        <v>60</v>
      </c>
      <c r="AB45" s="4" t="s">
        <v>61</v>
      </c>
      <c r="AC45" s="4">
        <v>443</v>
      </c>
      <c r="AD45" s="4" t="s">
        <v>62</v>
      </c>
      <c r="AE45" s="4" t="s">
        <v>55</v>
      </c>
      <c r="AF45" s="4" t="s">
        <v>55</v>
      </c>
      <c r="AG45" s="4" t="s">
        <v>165</v>
      </c>
      <c r="AH45" s="4">
        <v>840103</v>
      </c>
      <c r="AI45" s="4" t="s">
        <v>139</v>
      </c>
      <c r="AJ45" s="4" t="s">
        <v>55</v>
      </c>
      <c r="AK45" s="5">
        <v>45609</v>
      </c>
      <c r="AL45" s="6">
        <v>45610</v>
      </c>
      <c r="AM45" s="6">
        <v>46081</v>
      </c>
      <c r="AN45" s="4">
        <v>10</v>
      </c>
      <c r="AO45" s="6">
        <v>49259</v>
      </c>
      <c r="AP45" s="4">
        <v>116</v>
      </c>
      <c r="AQ45" s="4" t="s">
        <v>166</v>
      </c>
      <c r="AR45" s="4" t="s">
        <v>170</v>
      </c>
      <c r="AS45" s="4" t="s">
        <v>171</v>
      </c>
      <c r="AT45" s="4" t="s">
        <v>49</v>
      </c>
    </row>
    <row r="46" spans="1:46" ht="105" x14ac:dyDescent="0.25">
      <c r="A46" s="4">
        <v>39250322</v>
      </c>
      <c r="B46" s="4" t="str">
        <f>""</f>
        <v/>
      </c>
      <c r="C46" s="4" t="str">
        <f>"300100400003"</f>
        <v>300100400003</v>
      </c>
      <c r="D46" s="4">
        <v>14</v>
      </c>
      <c r="E46" s="4" t="s">
        <v>132</v>
      </c>
      <c r="F46" s="4" t="s">
        <v>160</v>
      </c>
      <c r="G46" s="4" t="str">
        <f>"39250322"</f>
        <v>39250322</v>
      </c>
      <c r="H46" s="4" t="str">
        <f>"MESA DE REUNIONES CIRCULAR 1900MM DE DIAMETRO 4P"</f>
        <v>MESA DE REUNIONES CIRCULAR 1900MM DE DIAMETRO 4P</v>
      </c>
      <c r="I46" s="4" t="str">
        <f t="shared" si="6"/>
        <v>N/A</v>
      </c>
      <c r="J46" s="4" t="s">
        <v>49</v>
      </c>
      <c r="K46" s="4"/>
      <c r="L46" s="4">
        <v>116</v>
      </c>
      <c r="M46" s="4" t="s">
        <v>49</v>
      </c>
      <c r="N46" s="4" t="s">
        <v>161</v>
      </c>
      <c r="O46" s="4" t="s">
        <v>162</v>
      </c>
      <c r="P46" s="4" t="s">
        <v>163</v>
      </c>
      <c r="Q46" s="4" t="s">
        <v>54</v>
      </c>
      <c r="R46" s="4" t="s">
        <v>55</v>
      </c>
      <c r="S46" s="4" t="s">
        <v>56</v>
      </c>
      <c r="T46" s="4">
        <v>6</v>
      </c>
      <c r="U46" s="4" t="s">
        <v>57</v>
      </c>
      <c r="V46" s="4">
        <v>97459</v>
      </c>
      <c r="W46" s="4" t="s">
        <v>58</v>
      </c>
      <c r="X46" s="4">
        <v>1709796500</v>
      </c>
      <c r="Y46" s="4" t="s">
        <v>157</v>
      </c>
      <c r="Z46" s="4" t="s">
        <v>55</v>
      </c>
      <c r="AA46" s="4" t="s">
        <v>60</v>
      </c>
      <c r="AB46" s="4" t="s">
        <v>61</v>
      </c>
      <c r="AC46" s="4">
        <v>443</v>
      </c>
      <c r="AD46" s="4" t="s">
        <v>62</v>
      </c>
      <c r="AE46" s="4" t="s">
        <v>55</v>
      </c>
      <c r="AF46" s="4" t="s">
        <v>55</v>
      </c>
      <c r="AG46" s="4" t="s">
        <v>165</v>
      </c>
      <c r="AH46" s="4">
        <v>840103</v>
      </c>
      <c r="AI46" s="4" t="s">
        <v>139</v>
      </c>
      <c r="AJ46" s="4" t="s">
        <v>55</v>
      </c>
      <c r="AK46" s="5">
        <v>45609</v>
      </c>
      <c r="AL46" s="6">
        <v>45610</v>
      </c>
      <c r="AM46" s="6">
        <v>46081</v>
      </c>
      <c r="AN46" s="4">
        <v>10</v>
      </c>
      <c r="AO46" s="6">
        <v>49259</v>
      </c>
      <c r="AP46" s="4">
        <v>116</v>
      </c>
      <c r="AQ46" s="4" t="s">
        <v>166</v>
      </c>
      <c r="AR46" s="4" t="s">
        <v>170</v>
      </c>
      <c r="AS46" s="4" t="s">
        <v>171</v>
      </c>
      <c r="AT46" s="4" t="s">
        <v>49</v>
      </c>
    </row>
    <row r="47" spans="1:46" ht="105" x14ac:dyDescent="0.25">
      <c r="A47" s="4">
        <v>39250323</v>
      </c>
      <c r="B47" s="4" t="str">
        <f>""</f>
        <v/>
      </c>
      <c r="C47" s="4" t="str">
        <f>"300100280006"</f>
        <v>300100280006</v>
      </c>
      <c r="D47" s="4">
        <v>14</v>
      </c>
      <c r="E47" s="4" t="s">
        <v>132</v>
      </c>
      <c r="F47" s="4" t="s">
        <v>172</v>
      </c>
      <c r="G47" s="4" t="str">
        <f>"39250323"</f>
        <v>39250323</v>
      </c>
      <c r="H47" s="4" t="str">
        <f>"SILLA CHUKUY"</f>
        <v>SILLA CHUKUY</v>
      </c>
      <c r="I47" s="4" t="str">
        <f t="shared" si="6"/>
        <v>N/A</v>
      </c>
      <c r="J47" s="4" t="s">
        <v>49</v>
      </c>
      <c r="K47" s="4"/>
      <c r="L47" s="4" t="s">
        <v>173</v>
      </c>
      <c r="M47" s="4" t="s">
        <v>49</v>
      </c>
      <c r="N47" s="4" t="s">
        <v>174</v>
      </c>
      <c r="O47" s="4" t="s">
        <v>175</v>
      </c>
      <c r="P47" s="4" t="s">
        <v>176</v>
      </c>
      <c r="Q47" s="4" t="s">
        <v>54</v>
      </c>
      <c r="R47" s="4" t="s">
        <v>55</v>
      </c>
      <c r="S47" s="4" t="s">
        <v>56</v>
      </c>
      <c r="T47" s="4">
        <v>6</v>
      </c>
      <c r="U47" s="4" t="s">
        <v>57</v>
      </c>
      <c r="V47" s="4">
        <v>97459</v>
      </c>
      <c r="W47" s="4" t="s">
        <v>58</v>
      </c>
      <c r="X47" s="4">
        <v>1711995694</v>
      </c>
      <c r="Y47" s="4" t="s">
        <v>169</v>
      </c>
      <c r="Z47" s="4" t="s">
        <v>55</v>
      </c>
      <c r="AA47" s="4" t="s">
        <v>60</v>
      </c>
      <c r="AB47" s="4" t="s">
        <v>61</v>
      </c>
      <c r="AC47" s="4">
        <v>443</v>
      </c>
      <c r="AD47" s="4" t="s">
        <v>62</v>
      </c>
      <c r="AE47" s="4" t="s">
        <v>55</v>
      </c>
      <c r="AF47" s="4" t="s">
        <v>55</v>
      </c>
      <c r="AG47" s="4" t="s">
        <v>165</v>
      </c>
      <c r="AH47" s="4">
        <v>840103</v>
      </c>
      <c r="AI47" s="4" t="s">
        <v>139</v>
      </c>
      <c r="AJ47" s="4" t="s">
        <v>55</v>
      </c>
      <c r="AK47" s="5">
        <v>45609</v>
      </c>
      <c r="AL47" s="6">
        <v>45610</v>
      </c>
      <c r="AM47" s="6">
        <v>46081</v>
      </c>
      <c r="AN47" s="4">
        <v>10</v>
      </c>
      <c r="AO47" s="6">
        <v>49259</v>
      </c>
      <c r="AP47" s="4" t="s">
        <v>173</v>
      </c>
      <c r="AQ47" s="4" t="s">
        <v>177</v>
      </c>
      <c r="AR47" s="4" t="s">
        <v>178</v>
      </c>
      <c r="AS47" s="4" t="s">
        <v>179</v>
      </c>
      <c r="AT47" s="4" t="s">
        <v>49</v>
      </c>
    </row>
    <row r="48" spans="1:46" ht="105" x14ac:dyDescent="0.25">
      <c r="A48" s="4">
        <v>39250324</v>
      </c>
      <c r="B48" s="4" t="str">
        <f>""</f>
        <v/>
      </c>
      <c r="C48" s="4" t="str">
        <f>"300100280006"</f>
        <v>300100280006</v>
      </c>
      <c r="D48" s="4">
        <v>14</v>
      </c>
      <c r="E48" s="4" t="s">
        <v>132</v>
      </c>
      <c r="F48" s="4" t="s">
        <v>172</v>
      </c>
      <c r="G48" s="4" t="str">
        <f>"39250324"</f>
        <v>39250324</v>
      </c>
      <c r="H48" s="4" t="str">
        <f>"SILLA CHUKUY"</f>
        <v>SILLA CHUKUY</v>
      </c>
      <c r="I48" s="4" t="str">
        <f t="shared" si="6"/>
        <v>N/A</v>
      </c>
      <c r="J48" s="4" t="s">
        <v>49</v>
      </c>
      <c r="K48" s="4"/>
      <c r="L48" s="4" t="s">
        <v>173</v>
      </c>
      <c r="M48" s="4" t="s">
        <v>49</v>
      </c>
      <c r="N48" s="4" t="s">
        <v>174</v>
      </c>
      <c r="O48" s="4" t="s">
        <v>175</v>
      </c>
      <c r="P48" s="4" t="s">
        <v>176</v>
      </c>
      <c r="Q48" s="4" t="s">
        <v>54</v>
      </c>
      <c r="R48" s="4" t="s">
        <v>55</v>
      </c>
      <c r="S48" s="4" t="s">
        <v>56</v>
      </c>
      <c r="T48" s="4">
        <v>6</v>
      </c>
      <c r="U48" s="4" t="s">
        <v>57</v>
      </c>
      <c r="V48" s="4">
        <v>97459</v>
      </c>
      <c r="W48" s="4" t="s">
        <v>58</v>
      </c>
      <c r="X48" s="4">
        <v>1709796500</v>
      </c>
      <c r="Y48" s="4" t="s">
        <v>157</v>
      </c>
      <c r="Z48" s="4" t="s">
        <v>55</v>
      </c>
      <c r="AA48" s="4" t="s">
        <v>60</v>
      </c>
      <c r="AB48" s="4" t="s">
        <v>61</v>
      </c>
      <c r="AC48" s="4">
        <v>443</v>
      </c>
      <c r="AD48" s="4" t="s">
        <v>62</v>
      </c>
      <c r="AE48" s="4" t="s">
        <v>55</v>
      </c>
      <c r="AF48" s="4" t="s">
        <v>55</v>
      </c>
      <c r="AG48" s="4" t="s">
        <v>165</v>
      </c>
      <c r="AH48" s="4">
        <v>840103</v>
      </c>
      <c r="AI48" s="4" t="s">
        <v>139</v>
      </c>
      <c r="AJ48" s="4" t="s">
        <v>55</v>
      </c>
      <c r="AK48" s="5">
        <v>45609</v>
      </c>
      <c r="AL48" s="6">
        <v>45610</v>
      </c>
      <c r="AM48" s="6">
        <v>46081</v>
      </c>
      <c r="AN48" s="4">
        <v>10</v>
      </c>
      <c r="AO48" s="6">
        <v>49259</v>
      </c>
      <c r="AP48" s="4" t="s">
        <v>173</v>
      </c>
      <c r="AQ48" s="4" t="s">
        <v>177</v>
      </c>
      <c r="AR48" s="4" t="s">
        <v>178</v>
      </c>
      <c r="AS48" s="4" t="s">
        <v>179</v>
      </c>
      <c r="AT48" s="4" t="s">
        <v>49</v>
      </c>
    </row>
    <row r="49" spans="1:46" ht="105" x14ac:dyDescent="0.25">
      <c r="A49" s="4">
        <v>39250325</v>
      </c>
      <c r="B49" s="4" t="str">
        <f>""</f>
        <v/>
      </c>
      <c r="C49" s="4" t="str">
        <f>"300100280006"</f>
        <v>300100280006</v>
      </c>
      <c r="D49" s="4">
        <v>14</v>
      </c>
      <c r="E49" s="4" t="s">
        <v>132</v>
      </c>
      <c r="F49" s="4" t="s">
        <v>172</v>
      </c>
      <c r="G49" s="4" t="str">
        <f>"39250325"</f>
        <v>39250325</v>
      </c>
      <c r="H49" s="4" t="str">
        <f>"SILLA CHUKUY"</f>
        <v>SILLA CHUKUY</v>
      </c>
      <c r="I49" s="4" t="str">
        <f t="shared" si="6"/>
        <v>N/A</v>
      </c>
      <c r="J49" s="4" t="s">
        <v>49</v>
      </c>
      <c r="K49" s="4"/>
      <c r="L49" s="4" t="s">
        <v>173</v>
      </c>
      <c r="M49" s="4" t="s">
        <v>49</v>
      </c>
      <c r="N49" s="4" t="s">
        <v>174</v>
      </c>
      <c r="O49" s="4" t="s">
        <v>175</v>
      </c>
      <c r="P49" s="4" t="s">
        <v>176</v>
      </c>
      <c r="Q49" s="4" t="s">
        <v>54</v>
      </c>
      <c r="R49" s="4" t="s">
        <v>55</v>
      </c>
      <c r="S49" s="4" t="s">
        <v>56</v>
      </c>
      <c r="T49" s="4">
        <v>6</v>
      </c>
      <c r="U49" s="4" t="s">
        <v>57</v>
      </c>
      <c r="V49" s="4">
        <v>97459</v>
      </c>
      <c r="W49" s="4" t="s">
        <v>58</v>
      </c>
      <c r="X49" s="4">
        <v>1717662512</v>
      </c>
      <c r="Y49" s="4" t="s">
        <v>71</v>
      </c>
      <c r="Z49" s="4" t="s">
        <v>55</v>
      </c>
      <c r="AA49" s="4" t="s">
        <v>60</v>
      </c>
      <c r="AB49" s="4" t="s">
        <v>61</v>
      </c>
      <c r="AC49" s="4">
        <v>443</v>
      </c>
      <c r="AD49" s="4" t="s">
        <v>62</v>
      </c>
      <c r="AE49" s="4" t="s">
        <v>55</v>
      </c>
      <c r="AF49" s="4" t="s">
        <v>55</v>
      </c>
      <c r="AG49" s="4" t="s">
        <v>165</v>
      </c>
      <c r="AH49" s="4">
        <v>840103</v>
      </c>
      <c r="AI49" s="4" t="s">
        <v>139</v>
      </c>
      <c r="AJ49" s="4" t="s">
        <v>55</v>
      </c>
      <c r="AK49" s="5">
        <v>45609</v>
      </c>
      <c r="AL49" s="6">
        <v>45610</v>
      </c>
      <c r="AM49" s="6">
        <v>46081</v>
      </c>
      <c r="AN49" s="4">
        <v>10</v>
      </c>
      <c r="AO49" s="6">
        <v>49259</v>
      </c>
      <c r="AP49" s="4" t="s">
        <v>173</v>
      </c>
      <c r="AQ49" s="4" t="s">
        <v>177</v>
      </c>
      <c r="AR49" s="4" t="s">
        <v>178</v>
      </c>
      <c r="AS49" s="4" t="s">
        <v>179</v>
      </c>
      <c r="AT49" s="4" t="s">
        <v>49</v>
      </c>
    </row>
    <row r="50" spans="1:46" ht="105" x14ac:dyDescent="0.25">
      <c r="A50" s="4">
        <v>39250326</v>
      </c>
      <c r="B50" s="4" t="str">
        <f>""</f>
        <v/>
      </c>
      <c r="C50" s="4" t="str">
        <f>"300100290002"</f>
        <v>300100290002</v>
      </c>
      <c r="D50" s="4">
        <v>14</v>
      </c>
      <c r="E50" s="4" t="s">
        <v>132</v>
      </c>
      <c r="F50" s="4" t="s">
        <v>180</v>
      </c>
      <c r="G50" s="4" t="str">
        <f>"39250326"</f>
        <v>39250326</v>
      </c>
      <c r="H50" s="4" t="str">
        <f>"SILLON QHAPAX"</f>
        <v>SILLON QHAPAX</v>
      </c>
      <c r="I50" s="4" t="str">
        <f t="shared" si="6"/>
        <v>N/A</v>
      </c>
      <c r="J50" s="4" t="s">
        <v>49</v>
      </c>
      <c r="K50" s="4"/>
      <c r="L50" s="4" t="s">
        <v>181</v>
      </c>
      <c r="M50" s="4" t="s">
        <v>49</v>
      </c>
      <c r="N50" s="4" t="s">
        <v>113</v>
      </c>
      <c r="O50" s="4" t="s">
        <v>182</v>
      </c>
      <c r="P50" s="4" t="s">
        <v>176</v>
      </c>
      <c r="Q50" s="4" t="s">
        <v>54</v>
      </c>
      <c r="R50" s="4" t="s">
        <v>55</v>
      </c>
      <c r="S50" s="4" t="s">
        <v>56</v>
      </c>
      <c r="T50" s="4">
        <v>6</v>
      </c>
      <c r="U50" s="4" t="s">
        <v>57</v>
      </c>
      <c r="V50" s="4">
        <v>97459</v>
      </c>
      <c r="W50" s="4" t="s">
        <v>58</v>
      </c>
      <c r="X50" s="4">
        <v>102936168</v>
      </c>
      <c r="Y50" s="4" t="s">
        <v>59</v>
      </c>
      <c r="Z50" s="4" t="s">
        <v>55</v>
      </c>
      <c r="AA50" s="4" t="s">
        <v>60</v>
      </c>
      <c r="AB50" s="4" t="s">
        <v>61</v>
      </c>
      <c r="AC50" s="4">
        <v>443</v>
      </c>
      <c r="AD50" s="4" t="s">
        <v>62</v>
      </c>
      <c r="AE50" s="4" t="s">
        <v>55</v>
      </c>
      <c r="AF50" s="4" t="s">
        <v>55</v>
      </c>
      <c r="AG50" s="4" t="s">
        <v>165</v>
      </c>
      <c r="AH50" s="4">
        <v>840103</v>
      </c>
      <c r="AI50" s="4" t="s">
        <v>139</v>
      </c>
      <c r="AJ50" s="4" t="s">
        <v>55</v>
      </c>
      <c r="AK50" s="5">
        <v>45609</v>
      </c>
      <c r="AL50" s="6">
        <v>45610</v>
      </c>
      <c r="AM50" s="6">
        <v>46081</v>
      </c>
      <c r="AN50" s="4">
        <v>10</v>
      </c>
      <c r="AO50" s="6">
        <v>49259</v>
      </c>
      <c r="AP50" s="4" t="s">
        <v>181</v>
      </c>
      <c r="AQ50" s="4" t="s">
        <v>183</v>
      </c>
      <c r="AR50" s="4" t="s">
        <v>184</v>
      </c>
      <c r="AS50" s="4" t="s">
        <v>185</v>
      </c>
      <c r="AT50" s="4" t="s">
        <v>49</v>
      </c>
    </row>
    <row r="51" spans="1:46" ht="105" x14ac:dyDescent="0.25">
      <c r="A51" s="4">
        <v>39250327</v>
      </c>
      <c r="B51" s="4" t="str">
        <f>""</f>
        <v/>
      </c>
      <c r="C51" s="4" t="str">
        <f>"300100300002"</f>
        <v>300100300002</v>
      </c>
      <c r="D51" s="4">
        <v>14</v>
      </c>
      <c r="E51" s="4" t="s">
        <v>132</v>
      </c>
      <c r="F51" s="4" t="s">
        <v>186</v>
      </c>
      <c r="G51" s="4" t="str">
        <f>"39250327"</f>
        <v>39250327</v>
      </c>
      <c r="H51" s="4" t="str">
        <f>"SOFÁ BIPERSONAL"</f>
        <v>SOFÁ BIPERSONAL</v>
      </c>
      <c r="I51" s="4" t="str">
        <f t="shared" si="6"/>
        <v>N/A</v>
      </c>
      <c r="J51" s="4" t="s">
        <v>49</v>
      </c>
      <c r="K51" s="4"/>
      <c r="L51" s="4" t="s">
        <v>187</v>
      </c>
      <c r="M51" s="4" t="s">
        <v>49</v>
      </c>
      <c r="N51" s="4" t="s">
        <v>174</v>
      </c>
      <c r="O51" s="4" t="s">
        <v>188</v>
      </c>
      <c r="P51" s="4" t="s">
        <v>189</v>
      </c>
      <c r="Q51" s="4" t="s">
        <v>54</v>
      </c>
      <c r="R51" s="4" t="s">
        <v>55</v>
      </c>
      <c r="S51" s="4" t="s">
        <v>56</v>
      </c>
      <c r="T51" s="4">
        <v>6</v>
      </c>
      <c r="U51" s="4" t="s">
        <v>57</v>
      </c>
      <c r="V51" s="4">
        <v>97459</v>
      </c>
      <c r="W51" s="4" t="s">
        <v>58</v>
      </c>
      <c r="X51" s="4">
        <v>1716349814</v>
      </c>
      <c r="Y51" s="4" t="s">
        <v>86</v>
      </c>
      <c r="Z51" s="4" t="s">
        <v>55</v>
      </c>
      <c r="AA51" s="4" t="s">
        <v>60</v>
      </c>
      <c r="AB51" s="4" t="s">
        <v>61</v>
      </c>
      <c r="AC51" s="4">
        <v>443</v>
      </c>
      <c r="AD51" s="4" t="s">
        <v>62</v>
      </c>
      <c r="AE51" s="4" t="s">
        <v>55</v>
      </c>
      <c r="AF51" s="4" t="s">
        <v>55</v>
      </c>
      <c r="AG51" s="4" t="s">
        <v>165</v>
      </c>
      <c r="AH51" s="4">
        <v>840103</v>
      </c>
      <c r="AI51" s="4" t="s">
        <v>139</v>
      </c>
      <c r="AJ51" s="4" t="s">
        <v>55</v>
      </c>
      <c r="AK51" s="5">
        <v>45609</v>
      </c>
      <c r="AL51" s="6">
        <v>45610</v>
      </c>
      <c r="AM51" s="6">
        <v>46081</v>
      </c>
      <c r="AN51" s="4">
        <v>10</v>
      </c>
      <c r="AO51" s="6">
        <v>49259</v>
      </c>
      <c r="AP51" s="4" t="s">
        <v>187</v>
      </c>
      <c r="AQ51" s="4" t="s">
        <v>190</v>
      </c>
      <c r="AR51" s="4" t="s">
        <v>191</v>
      </c>
      <c r="AS51" s="4" t="s">
        <v>192</v>
      </c>
      <c r="AT51" s="4" t="s">
        <v>49</v>
      </c>
    </row>
    <row r="52" spans="1:46" ht="105" x14ac:dyDescent="0.25">
      <c r="A52" s="4">
        <v>39250328</v>
      </c>
      <c r="B52" s="4" t="str">
        <f>""</f>
        <v/>
      </c>
      <c r="C52" s="4" t="str">
        <f>"300100410003"</f>
        <v>300100410003</v>
      </c>
      <c r="D52" s="4">
        <v>14</v>
      </c>
      <c r="E52" s="4" t="s">
        <v>132</v>
      </c>
      <c r="F52" s="4" t="s">
        <v>193</v>
      </c>
      <c r="G52" s="4" t="str">
        <f>"39250328"</f>
        <v>39250328</v>
      </c>
      <c r="H52" s="4" t="str">
        <f>"MESA SALA DE REUNIONES 12 PERSONAS"</f>
        <v>MESA SALA DE REUNIONES 12 PERSONAS</v>
      </c>
      <c r="I52" s="4" t="str">
        <f t="shared" si="6"/>
        <v>N/A</v>
      </c>
      <c r="J52" s="4" t="s">
        <v>49</v>
      </c>
      <c r="K52" s="4"/>
      <c r="L52" s="4">
        <v>919</v>
      </c>
      <c r="M52" s="4" t="s">
        <v>49</v>
      </c>
      <c r="N52" s="4" t="s">
        <v>194</v>
      </c>
      <c r="O52" s="4" t="s">
        <v>195</v>
      </c>
      <c r="P52" s="4" t="s">
        <v>196</v>
      </c>
      <c r="Q52" s="4" t="s">
        <v>54</v>
      </c>
      <c r="R52" s="4" t="s">
        <v>55</v>
      </c>
      <c r="S52" s="4" t="s">
        <v>56</v>
      </c>
      <c r="T52" s="4">
        <v>6</v>
      </c>
      <c r="U52" s="4" t="s">
        <v>57</v>
      </c>
      <c r="V52" s="4">
        <v>97459</v>
      </c>
      <c r="W52" s="4" t="s">
        <v>58</v>
      </c>
      <c r="X52" s="4">
        <v>1725514309</v>
      </c>
      <c r="Y52" s="4" t="s">
        <v>197</v>
      </c>
      <c r="Z52" s="4" t="s">
        <v>55</v>
      </c>
      <c r="AA52" s="4" t="s">
        <v>60</v>
      </c>
      <c r="AB52" s="4" t="s">
        <v>61</v>
      </c>
      <c r="AC52" s="4">
        <v>443</v>
      </c>
      <c r="AD52" s="4" t="s">
        <v>62</v>
      </c>
      <c r="AE52" s="4" t="s">
        <v>55</v>
      </c>
      <c r="AF52" s="4" t="s">
        <v>55</v>
      </c>
      <c r="AG52" s="4" t="s">
        <v>165</v>
      </c>
      <c r="AH52" s="4">
        <v>840103</v>
      </c>
      <c r="AI52" s="4" t="s">
        <v>139</v>
      </c>
      <c r="AJ52" s="4" t="s">
        <v>55</v>
      </c>
      <c r="AK52" s="5">
        <v>45609</v>
      </c>
      <c r="AL52" s="6">
        <v>45610</v>
      </c>
      <c r="AM52" s="6">
        <v>46081</v>
      </c>
      <c r="AN52" s="4">
        <v>10</v>
      </c>
      <c r="AO52" s="6">
        <v>49259</v>
      </c>
      <c r="AP52" s="4">
        <v>919</v>
      </c>
      <c r="AQ52" s="4" t="s">
        <v>198</v>
      </c>
      <c r="AR52" s="4" t="s">
        <v>199</v>
      </c>
      <c r="AS52" s="4" t="s">
        <v>200</v>
      </c>
      <c r="AT52" s="4" t="s">
        <v>49</v>
      </c>
    </row>
    <row r="53" spans="1:46" ht="75" x14ac:dyDescent="0.25">
      <c r="A53" s="4">
        <v>39255007</v>
      </c>
      <c r="B53" s="4" t="str">
        <f>""</f>
        <v/>
      </c>
      <c r="C53" s="4" t="str">
        <f t="shared" ref="C53:C64" si="7">"300100290001"</f>
        <v>300100290001</v>
      </c>
      <c r="D53" s="4">
        <v>15</v>
      </c>
      <c r="E53" s="4" t="s">
        <v>132</v>
      </c>
      <c r="F53" s="4" t="s">
        <v>201</v>
      </c>
      <c r="G53" s="4" t="str">
        <f>"39255007"</f>
        <v>39255007</v>
      </c>
      <c r="H53" s="4" t="str">
        <f t="shared" ref="H53:H64" si="8">"SILLON QHAPAX VISITA"</f>
        <v>SILLON QHAPAX VISITA</v>
      </c>
      <c r="I53" s="4" t="str">
        <f t="shared" si="6"/>
        <v>N/A</v>
      </c>
      <c r="J53" s="4" t="s">
        <v>49</v>
      </c>
      <c r="K53" s="4"/>
      <c r="L53" s="4" t="s">
        <v>202</v>
      </c>
      <c r="M53" s="4" t="s">
        <v>49</v>
      </c>
      <c r="N53" s="4" t="s">
        <v>113</v>
      </c>
      <c r="O53" s="4" t="s">
        <v>203</v>
      </c>
      <c r="P53" s="4" t="s">
        <v>204</v>
      </c>
      <c r="Q53" s="4" t="s">
        <v>54</v>
      </c>
      <c r="R53" s="4" t="s">
        <v>55</v>
      </c>
      <c r="S53" s="4" t="s">
        <v>56</v>
      </c>
      <c r="T53" s="4">
        <v>6</v>
      </c>
      <c r="U53" s="4" t="s">
        <v>57</v>
      </c>
      <c r="V53" s="4">
        <v>97459</v>
      </c>
      <c r="W53" s="4" t="s">
        <v>58</v>
      </c>
      <c r="X53" s="4">
        <v>1725514309</v>
      </c>
      <c r="Y53" s="4" t="s">
        <v>197</v>
      </c>
      <c r="Z53" s="4" t="s">
        <v>55</v>
      </c>
      <c r="AA53" s="4" t="s">
        <v>60</v>
      </c>
      <c r="AB53" s="4" t="s">
        <v>61</v>
      </c>
      <c r="AC53" s="4">
        <v>443</v>
      </c>
      <c r="AD53" s="4" t="s">
        <v>62</v>
      </c>
      <c r="AE53" s="4" t="s">
        <v>55</v>
      </c>
      <c r="AF53" s="4" t="s">
        <v>55</v>
      </c>
      <c r="AG53" s="4" t="s">
        <v>205</v>
      </c>
      <c r="AH53" s="4">
        <v>840103</v>
      </c>
      <c r="AI53" s="4" t="s">
        <v>139</v>
      </c>
      <c r="AJ53" s="4" t="s">
        <v>55</v>
      </c>
      <c r="AK53" s="5">
        <v>45610</v>
      </c>
      <c r="AL53" s="6">
        <v>45611</v>
      </c>
      <c r="AM53" s="6">
        <v>46081</v>
      </c>
      <c r="AN53" s="4">
        <v>10</v>
      </c>
      <c r="AO53" s="6">
        <v>49260</v>
      </c>
      <c r="AP53" s="4" t="s">
        <v>202</v>
      </c>
      <c r="AQ53" s="4" t="s">
        <v>206</v>
      </c>
      <c r="AR53" s="4" t="s">
        <v>207</v>
      </c>
      <c r="AS53" s="4" t="s">
        <v>208</v>
      </c>
      <c r="AT53" s="4" t="s">
        <v>49</v>
      </c>
    </row>
    <row r="54" spans="1:46" ht="75" x14ac:dyDescent="0.25">
      <c r="A54" s="4">
        <v>39255008</v>
      </c>
      <c r="B54" s="4" t="str">
        <f>""</f>
        <v/>
      </c>
      <c r="C54" s="4" t="str">
        <f t="shared" si="7"/>
        <v>300100290001</v>
      </c>
      <c r="D54" s="4">
        <v>15</v>
      </c>
      <c r="E54" s="4" t="s">
        <v>132</v>
      </c>
      <c r="F54" s="4" t="s">
        <v>201</v>
      </c>
      <c r="G54" s="4" t="str">
        <f>"39255008"</f>
        <v>39255008</v>
      </c>
      <c r="H54" s="4" t="str">
        <f t="shared" si="8"/>
        <v>SILLON QHAPAX VISITA</v>
      </c>
      <c r="I54" s="4" t="str">
        <f t="shared" si="6"/>
        <v>N/A</v>
      </c>
      <c r="J54" s="4" t="s">
        <v>49</v>
      </c>
      <c r="K54" s="4"/>
      <c r="L54" s="4" t="s">
        <v>202</v>
      </c>
      <c r="M54" s="4" t="s">
        <v>49</v>
      </c>
      <c r="N54" s="4" t="s">
        <v>113</v>
      </c>
      <c r="O54" s="4" t="s">
        <v>203</v>
      </c>
      <c r="P54" s="4" t="s">
        <v>204</v>
      </c>
      <c r="Q54" s="4" t="s">
        <v>54</v>
      </c>
      <c r="R54" s="4" t="s">
        <v>55</v>
      </c>
      <c r="S54" s="4" t="s">
        <v>56</v>
      </c>
      <c r="T54" s="4">
        <v>6</v>
      </c>
      <c r="U54" s="4" t="s">
        <v>57</v>
      </c>
      <c r="V54" s="4">
        <v>97459</v>
      </c>
      <c r="W54" s="4" t="s">
        <v>58</v>
      </c>
      <c r="X54" s="4">
        <v>1725514309</v>
      </c>
      <c r="Y54" s="4" t="s">
        <v>197</v>
      </c>
      <c r="Z54" s="4" t="s">
        <v>55</v>
      </c>
      <c r="AA54" s="4" t="s">
        <v>60</v>
      </c>
      <c r="AB54" s="4" t="s">
        <v>61</v>
      </c>
      <c r="AC54" s="4">
        <v>443</v>
      </c>
      <c r="AD54" s="4" t="s">
        <v>62</v>
      </c>
      <c r="AE54" s="4" t="s">
        <v>55</v>
      </c>
      <c r="AF54" s="4" t="s">
        <v>55</v>
      </c>
      <c r="AG54" s="4" t="s">
        <v>205</v>
      </c>
      <c r="AH54" s="4">
        <v>840103</v>
      </c>
      <c r="AI54" s="4" t="s">
        <v>139</v>
      </c>
      <c r="AJ54" s="4" t="s">
        <v>55</v>
      </c>
      <c r="AK54" s="5">
        <v>45610</v>
      </c>
      <c r="AL54" s="6">
        <v>45611</v>
      </c>
      <c r="AM54" s="6">
        <v>46081</v>
      </c>
      <c r="AN54" s="4">
        <v>10</v>
      </c>
      <c r="AO54" s="6">
        <v>49260</v>
      </c>
      <c r="AP54" s="4" t="s">
        <v>202</v>
      </c>
      <c r="AQ54" s="4" t="s">
        <v>206</v>
      </c>
      <c r="AR54" s="4" t="s">
        <v>207</v>
      </c>
      <c r="AS54" s="4" t="s">
        <v>208</v>
      </c>
      <c r="AT54" s="4" t="s">
        <v>49</v>
      </c>
    </row>
    <row r="55" spans="1:46" ht="75" x14ac:dyDescent="0.25">
      <c r="A55" s="4">
        <v>39255009</v>
      </c>
      <c r="B55" s="4" t="str">
        <f>""</f>
        <v/>
      </c>
      <c r="C55" s="4" t="str">
        <f t="shared" si="7"/>
        <v>300100290001</v>
      </c>
      <c r="D55" s="4">
        <v>15</v>
      </c>
      <c r="E55" s="4" t="s">
        <v>132</v>
      </c>
      <c r="F55" s="4" t="s">
        <v>201</v>
      </c>
      <c r="G55" s="4" t="str">
        <f>"39255009"</f>
        <v>39255009</v>
      </c>
      <c r="H55" s="4" t="str">
        <f t="shared" si="8"/>
        <v>SILLON QHAPAX VISITA</v>
      </c>
      <c r="I55" s="4" t="str">
        <f t="shared" si="6"/>
        <v>N/A</v>
      </c>
      <c r="J55" s="4" t="s">
        <v>49</v>
      </c>
      <c r="K55" s="4"/>
      <c r="L55" s="4" t="s">
        <v>202</v>
      </c>
      <c r="M55" s="4" t="s">
        <v>49</v>
      </c>
      <c r="N55" s="4" t="s">
        <v>113</v>
      </c>
      <c r="O55" s="4" t="s">
        <v>203</v>
      </c>
      <c r="P55" s="4" t="s">
        <v>204</v>
      </c>
      <c r="Q55" s="4" t="s">
        <v>54</v>
      </c>
      <c r="R55" s="4" t="s">
        <v>55</v>
      </c>
      <c r="S55" s="4" t="s">
        <v>56</v>
      </c>
      <c r="T55" s="4">
        <v>6</v>
      </c>
      <c r="U55" s="4" t="s">
        <v>57</v>
      </c>
      <c r="V55" s="4">
        <v>97459</v>
      </c>
      <c r="W55" s="4" t="s">
        <v>58</v>
      </c>
      <c r="X55" s="4">
        <v>1725514309</v>
      </c>
      <c r="Y55" s="4" t="s">
        <v>197</v>
      </c>
      <c r="Z55" s="4" t="s">
        <v>55</v>
      </c>
      <c r="AA55" s="4" t="s">
        <v>60</v>
      </c>
      <c r="AB55" s="4" t="s">
        <v>61</v>
      </c>
      <c r="AC55" s="4">
        <v>443</v>
      </c>
      <c r="AD55" s="4" t="s">
        <v>62</v>
      </c>
      <c r="AE55" s="4" t="s">
        <v>55</v>
      </c>
      <c r="AF55" s="4" t="s">
        <v>55</v>
      </c>
      <c r="AG55" s="4" t="s">
        <v>205</v>
      </c>
      <c r="AH55" s="4">
        <v>840103</v>
      </c>
      <c r="AI55" s="4" t="s">
        <v>139</v>
      </c>
      <c r="AJ55" s="4" t="s">
        <v>55</v>
      </c>
      <c r="AK55" s="5">
        <v>45610</v>
      </c>
      <c r="AL55" s="6">
        <v>45611</v>
      </c>
      <c r="AM55" s="6">
        <v>46081</v>
      </c>
      <c r="AN55" s="4">
        <v>10</v>
      </c>
      <c r="AO55" s="6">
        <v>49260</v>
      </c>
      <c r="AP55" s="4" t="s">
        <v>202</v>
      </c>
      <c r="AQ55" s="4" t="s">
        <v>206</v>
      </c>
      <c r="AR55" s="4" t="s">
        <v>207</v>
      </c>
      <c r="AS55" s="4" t="s">
        <v>208</v>
      </c>
      <c r="AT55" s="4" t="s">
        <v>49</v>
      </c>
    </row>
    <row r="56" spans="1:46" ht="75" x14ac:dyDescent="0.25">
      <c r="A56" s="4">
        <v>39255010</v>
      </c>
      <c r="B56" s="4" t="str">
        <f>""</f>
        <v/>
      </c>
      <c r="C56" s="4" t="str">
        <f t="shared" si="7"/>
        <v>300100290001</v>
      </c>
      <c r="D56" s="4">
        <v>15</v>
      </c>
      <c r="E56" s="4" t="s">
        <v>132</v>
      </c>
      <c r="F56" s="4" t="s">
        <v>201</v>
      </c>
      <c r="G56" s="4" t="str">
        <f>"39255010"</f>
        <v>39255010</v>
      </c>
      <c r="H56" s="4" t="str">
        <f t="shared" si="8"/>
        <v>SILLON QHAPAX VISITA</v>
      </c>
      <c r="I56" s="4" t="str">
        <f t="shared" si="6"/>
        <v>N/A</v>
      </c>
      <c r="J56" s="4" t="s">
        <v>49</v>
      </c>
      <c r="K56" s="4"/>
      <c r="L56" s="4" t="s">
        <v>202</v>
      </c>
      <c r="M56" s="4" t="s">
        <v>49</v>
      </c>
      <c r="N56" s="4" t="s">
        <v>113</v>
      </c>
      <c r="O56" s="4" t="s">
        <v>203</v>
      </c>
      <c r="P56" s="4" t="s">
        <v>204</v>
      </c>
      <c r="Q56" s="4" t="s">
        <v>54</v>
      </c>
      <c r="R56" s="4" t="s">
        <v>55</v>
      </c>
      <c r="S56" s="4" t="s">
        <v>56</v>
      </c>
      <c r="T56" s="4">
        <v>6</v>
      </c>
      <c r="U56" s="4" t="s">
        <v>57</v>
      </c>
      <c r="V56" s="4">
        <v>97459</v>
      </c>
      <c r="W56" s="4" t="s">
        <v>58</v>
      </c>
      <c r="X56" s="4">
        <v>1725514309</v>
      </c>
      <c r="Y56" s="4" t="s">
        <v>197</v>
      </c>
      <c r="Z56" s="4" t="s">
        <v>55</v>
      </c>
      <c r="AA56" s="4" t="s">
        <v>60</v>
      </c>
      <c r="AB56" s="4" t="s">
        <v>61</v>
      </c>
      <c r="AC56" s="4">
        <v>443</v>
      </c>
      <c r="AD56" s="4" t="s">
        <v>62</v>
      </c>
      <c r="AE56" s="4" t="s">
        <v>55</v>
      </c>
      <c r="AF56" s="4" t="s">
        <v>55</v>
      </c>
      <c r="AG56" s="4" t="s">
        <v>205</v>
      </c>
      <c r="AH56" s="4">
        <v>840103</v>
      </c>
      <c r="AI56" s="4" t="s">
        <v>139</v>
      </c>
      <c r="AJ56" s="4" t="s">
        <v>55</v>
      </c>
      <c r="AK56" s="5">
        <v>45610</v>
      </c>
      <c r="AL56" s="6">
        <v>45611</v>
      </c>
      <c r="AM56" s="6">
        <v>46081</v>
      </c>
      <c r="AN56" s="4">
        <v>10</v>
      </c>
      <c r="AO56" s="6">
        <v>49260</v>
      </c>
      <c r="AP56" s="4" t="s">
        <v>202</v>
      </c>
      <c r="AQ56" s="4" t="s">
        <v>206</v>
      </c>
      <c r="AR56" s="4" t="s">
        <v>207</v>
      </c>
      <c r="AS56" s="4" t="s">
        <v>208</v>
      </c>
      <c r="AT56" s="4" t="s">
        <v>49</v>
      </c>
    </row>
    <row r="57" spans="1:46" ht="75" x14ac:dyDescent="0.25">
      <c r="A57" s="4">
        <v>39255011</v>
      </c>
      <c r="B57" s="4" t="str">
        <f>""</f>
        <v/>
      </c>
      <c r="C57" s="4" t="str">
        <f t="shared" si="7"/>
        <v>300100290001</v>
      </c>
      <c r="D57" s="4">
        <v>15</v>
      </c>
      <c r="E57" s="4" t="s">
        <v>132</v>
      </c>
      <c r="F57" s="4" t="s">
        <v>201</v>
      </c>
      <c r="G57" s="4" t="str">
        <f>"39255011"</f>
        <v>39255011</v>
      </c>
      <c r="H57" s="4" t="str">
        <f t="shared" si="8"/>
        <v>SILLON QHAPAX VISITA</v>
      </c>
      <c r="I57" s="4" t="str">
        <f t="shared" si="6"/>
        <v>N/A</v>
      </c>
      <c r="J57" s="4" t="s">
        <v>49</v>
      </c>
      <c r="K57" s="4"/>
      <c r="L57" s="4" t="s">
        <v>202</v>
      </c>
      <c r="M57" s="4" t="s">
        <v>49</v>
      </c>
      <c r="N57" s="4" t="s">
        <v>113</v>
      </c>
      <c r="O57" s="4" t="s">
        <v>203</v>
      </c>
      <c r="P57" s="4" t="s">
        <v>204</v>
      </c>
      <c r="Q57" s="4" t="s">
        <v>54</v>
      </c>
      <c r="R57" s="4" t="s">
        <v>55</v>
      </c>
      <c r="S57" s="4" t="s">
        <v>56</v>
      </c>
      <c r="T57" s="4">
        <v>6</v>
      </c>
      <c r="U57" s="4" t="s">
        <v>57</v>
      </c>
      <c r="V57" s="4">
        <v>97459</v>
      </c>
      <c r="W57" s="4" t="s">
        <v>58</v>
      </c>
      <c r="X57" s="4">
        <v>1725514309</v>
      </c>
      <c r="Y57" s="4" t="s">
        <v>197</v>
      </c>
      <c r="Z57" s="4" t="s">
        <v>55</v>
      </c>
      <c r="AA57" s="4" t="s">
        <v>60</v>
      </c>
      <c r="AB57" s="4" t="s">
        <v>61</v>
      </c>
      <c r="AC57" s="4">
        <v>443</v>
      </c>
      <c r="AD57" s="4" t="s">
        <v>62</v>
      </c>
      <c r="AE57" s="4" t="s">
        <v>55</v>
      </c>
      <c r="AF57" s="4" t="s">
        <v>55</v>
      </c>
      <c r="AG57" s="4" t="s">
        <v>205</v>
      </c>
      <c r="AH57" s="4">
        <v>840103</v>
      </c>
      <c r="AI57" s="4" t="s">
        <v>139</v>
      </c>
      <c r="AJ57" s="4" t="s">
        <v>55</v>
      </c>
      <c r="AK57" s="5">
        <v>45610</v>
      </c>
      <c r="AL57" s="6">
        <v>45611</v>
      </c>
      <c r="AM57" s="6">
        <v>46081</v>
      </c>
      <c r="AN57" s="4">
        <v>10</v>
      </c>
      <c r="AO57" s="6">
        <v>49260</v>
      </c>
      <c r="AP57" s="4" t="s">
        <v>202</v>
      </c>
      <c r="AQ57" s="4" t="s">
        <v>206</v>
      </c>
      <c r="AR57" s="4" t="s">
        <v>207</v>
      </c>
      <c r="AS57" s="4" t="s">
        <v>208</v>
      </c>
      <c r="AT57" s="4" t="s">
        <v>49</v>
      </c>
    </row>
    <row r="58" spans="1:46" ht="75" x14ac:dyDescent="0.25">
      <c r="A58" s="4">
        <v>39255012</v>
      </c>
      <c r="B58" s="4" t="str">
        <f>""</f>
        <v/>
      </c>
      <c r="C58" s="4" t="str">
        <f t="shared" si="7"/>
        <v>300100290001</v>
      </c>
      <c r="D58" s="4">
        <v>15</v>
      </c>
      <c r="E58" s="4" t="s">
        <v>132</v>
      </c>
      <c r="F58" s="4" t="s">
        <v>201</v>
      </c>
      <c r="G58" s="4" t="str">
        <f>"39255012"</f>
        <v>39255012</v>
      </c>
      <c r="H58" s="4" t="str">
        <f t="shared" si="8"/>
        <v>SILLON QHAPAX VISITA</v>
      </c>
      <c r="I58" s="4" t="str">
        <f t="shared" si="6"/>
        <v>N/A</v>
      </c>
      <c r="J58" s="4" t="s">
        <v>49</v>
      </c>
      <c r="K58" s="4"/>
      <c r="L58" s="4" t="s">
        <v>202</v>
      </c>
      <c r="M58" s="4" t="s">
        <v>49</v>
      </c>
      <c r="N58" s="4" t="s">
        <v>113</v>
      </c>
      <c r="O58" s="4" t="s">
        <v>203</v>
      </c>
      <c r="P58" s="4" t="s">
        <v>204</v>
      </c>
      <c r="Q58" s="4" t="s">
        <v>54</v>
      </c>
      <c r="R58" s="4" t="s">
        <v>55</v>
      </c>
      <c r="S58" s="4" t="s">
        <v>56</v>
      </c>
      <c r="T58" s="4">
        <v>6</v>
      </c>
      <c r="U58" s="4" t="s">
        <v>57</v>
      </c>
      <c r="V58" s="4">
        <v>97459</v>
      </c>
      <c r="W58" s="4" t="s">
        <v>58</v>
      </c>
      <c r="X58" s="4">
        <v>1725514309</v>
      </c>
      <c r="Y58" s="4" t="s">
        <v>197</v>
      </c>
      <c r="Z58" s="4" t="s">
        <v>55</v>
      </c>
      <c r="AA58" s="4" t="s">
        <v>60</v>
      </c>
      <c r="AB58" s="4" t="s">
        <v>61</v>
      </c>
      <c r="AC58" s="4">
        <v>443</v>
      </c>
      <c r="AD58" s="4" t="s">
        <v>62</v>
      </c>
      <c r="AE58" s="4" t="s">
        <v>55</v>
      </c>
      <c r="AF58" s="4" t="s">
        <v>55</v>
      </c>
      <c r="AG58" s="4" t="s">
        <v>205</v>
      </c>
      <c r="AH58" s="4">
        <v>840103</v>
      </c>
      <c r="AI58" s="4" t="s">
        <v>139</v>
      </c>
      <c r="AJ58" s="4" t="s">
        <v>55</v>
      </c>
      <c r="AK58" s="5">
        <v>45610</v>
      </c>
      <c r="AL58" s="6">
        <v>45611</v>
      </c>
      <c r="AM58" s="6">
        <v>46081</v>
      </c>
      <c r="AN58" s="4">
        <v>10</v>
      </c>
      <c r="AO58" s="6">
        <v>49260</v>
      </c>
      <c r="AP58" s="4" t="s">
        <v>202</v>
      </c>
      <c r="AQ58" s="4" t="s">
        <v>206</v>
      </c>
      <c r="AR58" s="4" t="s">
        <v>207</v>
      </c>
      <c r="AS58" s="4" t="s">
        <v>208</v>
      </c>
      <c r="AT58" s="4" t="s">
        <v>49</v>
      </c>
    </row>
    <row r="59" spans="1:46" ht="75" x14ac:dyDescent="0.25">
      <c r="A59" s="4">
        <v>39255013</v>
      </c>
      <c r="B59" s="4" t="str">
        <f>""</f>
        <v/>
      </c>
      <c r="C59" s="4" t="str">
        <f t="shared" si="7"/>
        <v>300100290001</v>
      </c>
      <c r="D59" s="4">
        <v>15</v>
      </c>
      <c r="E59" s="4" t="s">
        <v>132</v>
      </c>
      <c r="F59" s="4" t="s">
        <v>201</v>
      </c>
      <c r="G59" s="4" t="str">
        <f>"39255013"</f>
        <v>39255013</v>
      </c>
      <c r="H59" s="4" t="str">
        <f t="shared" si="8"/>
        <v>SILLON QHAPAX VISITA</v>
      </c>
      <c r="I59" s="4" t="str">
        <f t="shared" si="6"/>
        <v>N/A</v>
      </c>
      <c r="J59" s="4" t="s">
        <v>49</v>
      </c>
      <c r="K59" s="4"/>
      <c r="L59" s="4" t="s">
        <v>202</v>
      </c>
      <c r="M59" s="4" t="s">
        <v>49</v>
      </c>
      <c r="N59" s="4" t="s">
        <v>113</v>
      </c>
      <c r="O59" s="4" t="s">
        <v>203</v>
      </c>
      <c r="P59" s="4" t="s">
        <v>204</v>
      </c>
      <c r="Q59" s="4" t="s">
        <v>54</v>
      </c>
      <c r="R59" s="4" t="s">
        <v>55</v>
      </c>
      <c r="S59" s="4" t="s">
        <v>56</v>
      </c>
      <c r="T59" s="4">
        <v>6</v>
      </c>
      <c r="U59" s="4" t="s">
        <v>57</v>
      </c>
      <c r="V59" s="4">
        <v>97459</v>
      </c>
      <c r="W59" s="4" t="s">
        <v>58</v>
      </c>
      <c r="X59" s="4">
        <v>1725514309</v>
      </c>
      <c r="Y59" s="4" t="s">
        <v>197</v>
      </c>
      <c r="Z59" s="4" t="s">
        <v>55</v>
      </c>
      <c r="AA59" s="4" t="s">
        <v>60</v>
      </c>
      <c r="AB59" s="4" t="s">
        <v>61</v>
      </c>
      <c r="AC59" s="4">
        <v>443</v>
      </c>
      <c r="AD59" s="4" t="s">
        <v>62</v>
      </c>
      <c r="AE59" s="4" t="s">
        <v>55</v>
      </c>
      <c r="AF59" s="4" t="s">
        <v>55</v>
      </c>
      <c r="AG59" s="4" t="s">
        <v>205</v>
      </c>
      <c r="AH59" s="4">
        <v>840103</v>
      </c>
      <c r="AI59" s="4" t="s">
        <v>139</v>
      </c>
      <c r="AJ59" s="4" t="s">
        <v>55</v>
      </c>
      <c r="AK59" s="5">
        <v>45610</v>
      </c>
      <c r="AL59" s="6">
        <v>45611</v>
      </c>
      <c r="AM59" s="6">
        <v>46081</v>
      </c>
      <c r="AN59" s="4">
        <v>10</v>
      </c>
      <c r="AO59" s="6">
        <v>49260</v>
      </c>
      <c r="AP59" s="4" t="s">
        <v>202</v>
      </c>
      <c r="AQ59" s="4" t="s">
        <v>206</v>
      </c>
      <c r="AR59" s="4" t="s">
        <v>207</v>
      </c>
      <c r="AS59" s="4" t="s">
        <v>208</v>
      </c>
      <c r="AT59" s="4" t="s">
        <v>49</v>
      </c>
    </row>
    <row r="60" spans="1:46" ht="75" x14ac:dyDescent="0.25">
      <c r="A60" s="4">
        <v>39255014</v>
      </c>
      <c r="B60" s="4" t="str">
        <f>""</f>
        <v/>
      </c>
      <c r="C60" s="4" t="str">
        <f t="shared" si="7"/>
        <v>300100290001</v>
      </c>
      <c r="D60" s="4">
        <v>15</v>
      </c>
      <c r="E60" s="4" t="s">
        <v>132</v>
      </c>
      <c r="F60" s="4" t="s">
        <v>201</v>
      </c>
      <c r="G60" s="4" t="str">
        <f>"39255014"</f>
        <v>39255014</v>
      </c>
      <c r="H60" s="4" t="str">
        <f t="shared" si="8"/>
        <v>SILLON QHAPAX VISITA</v>
      </c>
      <c r="I60" s="4" t="str">
        <f t="shared" si="6"/>
        <v>N/A</v>
      </c>
      <c r="J60" s="4" t="s">
        <v>49</v>
      </c>
      <c r="K60" s="4"/>
      <c r="L60" s="4" t="s">
        <v>202</v>
      </c>
      <c r="M60" s="4" t="s">
        <v>49</v>
      </c>
      <c r="N60" s="4" t="s">
        <v>113</v>
      </c>
      <c r="O60" s="4" t="s">
        <v>203</v>
      </c>
      <c r="P60" s="4" t="s">
        <v>204</v>
      </c>
      <c r="Q60" s="4" t="s">
        <v>54</v>
      </c>
      <c r="R60" s="4" t="s">
        <v>55</v>
      </c>
      <c r="S60" s="4" t="s">
        <v>56</v>
      </c>
      <c r="T60" s="4">
        <v>6</v>
      </c>
      <c r="U60" s="4" t="s">
        <v>57</v>
      </c>
      <c r="V60" s="4">
        <v>97459</v>
      </c>
      <c r="W60" s="4" t="s">
        <v>58</v>
      </c>
      <c r="X60" s="4">
        <v>1725514309</v>
      </c>
      <c r="Y60" s="4" t="s">
        <v>197</v>
      </c>
      <c r="Z60" s="4" t="s">
        <v>55</v>
      </c>
      <c r="AA60" s="4" t="s">
        <v>60</v>
      </c>
      <c r="AB60" s="4" t="s">
        <v>61</v>
      </c>
      <c r="AC60" s="4">
        <v>443</v>
      </c>
      <c r="AD60" s="4" t="s">
        <v>62</v>
      </c>
      <c r="AE60" s="4" t="s">
        <v>55</v>
      </c>
      <c r="AF60" s="4" t="s">
        <v>55</v>
      </c>
      <c r="AG60" s="4" t="s">
        <v>205</v>
      </c>
      <c r="AH60" s="4">
        <v>840103</v>
      </c>
      <c r="AI60" s="4" t="s">
        <v>139</v>
      </c>
      <c r="AJ60" s="4" t="s">
        <v>55</v>
      </c>
      <c r="AK60" s="5">
        <v>45610</v>
      </c>
      <c r="AL60" s="6">
        <v>45611</v>
      </c>
      <c r="AM60" s="6">
        <v>46081</v>
      </c>
      <c r="AN60" s="4">
        <v>10</v>
      </c>
      <c r="AO60" s="6">
        <v>49260</v>
      </c>
      <c r="AP60" s="4" t="s">
        <v>202</v>
      </c>
      <c r="AQ60" s="4" t="s">
        <v>206</v>
      </c>
      <c r="AR60" s="4" t="s">
        <v>207</v>
      </c>
      <c r="AS60" s="4" t="s">
        <v>208</v>
      </c>
      <c r="AT60" s="4" t="s">
        <v>49</v>
      </c>
    </row>
    <row r="61" spans="1:46" ht="75" x14ac:dyDescent="0.25">
      <c r="A61" s="4">
        <v>39255015</v>
      </c>
      <c r="B61" s="4" t="str">
        <f>""</f>
        <v/>
      </c>
      <c r="C61" s="4" t="str">
        <f t="shared" si="7"/>
        <v>300100290001</v>
      </c>
      <c r="D61" s="4">
        <v>15</v>
      </c>
      <c r="E61" s="4" t="s">
        <v>132</v>
      </c>
      <c r="F61" s="4" t="s">
        <v>201</v>
      </c>
      <c r="G61" s="4" t="str">
        <f>"39255015"</f>
        <v>39255015</v>
      </c>
      <c r="H61" s="4" t="str">
        <f t="shared" si="8"/>
        <v>SILLON QHAPAX VISITA</v>
      </c>
      <c r="I61" s="4" t="str">
        <f t="shared" si="6"/>
        <v>N/A</v>
      </c>
      <c r="J61" s="4" t="s">
        <v>49</v>
      </c>
      <c r="K61" s="4"/>
      <c r="L61" s="4" t="s">
        <v>202</v>
      </c>
      <c r="M61" s="4" t="s">
        <v>49</v>
      </c>
      <c r="N61" s="4" t="s">
        <v>113</v>
      </c>
      <c r="O61" s="4" t="s">
        <v>203</v>
      </c>
      <c r="P61" s="4" t="s">
        <v>204</v>
      </c>
      <c r="Q61" s="4" t="s">
        <v>54</v>
      </c>
      <c r="R61" s="4" t="s">
        <v>55</v>
      </c>
      <c r="S61" s="4" t="s">
        <v>56</v>
      </c>
      <c r="T61" s="4">
        <v>6</v>
      </c>
      <c r="U61" s="4" t="s">
        <v>57</v>
      </c>
      <c r="V61" s="4">
        <v>97459</v>
      </c>
      <c r="W61" s="4" t="s">
        <v>58</v>
      </c>
      <c r="X61" s="4">
        <v>1725514309</v>
      </c>
      <c r="Y61" s="4" t="s">
        <v>197</v>
      </c>
      <c r="Z61" s="4" t="s">
        <v>55</v>
      </c>
      <c r="AA61" s="4" t="s">
        <v>60</v>
      </c>
      <c r="AB61" s="4" t="s">
        <v>61</v>
      </c>
      <c r="AC61" s="4">
        <v>443</v>
      </c>
      <c r="AD61" s="4" t="s">
        <v>62</v>
      </c>
      <c r="AE61" s="4" t="s">
        <v>55</v>
      </c>
      <c r="AF61" s="4" t="s">
        <v>55</v>
      </c>
      <c r="AG61" s="4" t="s">
        <v>205</v>
      </c>
      <c r="AH61" s="4">
        <v>840103</v>
      </c>
      <c r="AI61" s="4" t="s">
        <v>139</v>
      </c>
      <c r="AJ61" s="4" t="s">
        <v>55</v>
      </c>
      <c r="AK61" s="5">
        <v>45610</v>
      </c>
      <c r="AL61" s="6">
        <v>45611</v>
      </c>
      <c r="AM61" s="6">
        <v>46081</v>
      </c>
      <c r="AN61" s="4">
        <v>10</v>
      </c>
      <c r="AO61" s="6">
        <v>49260</v>
      </c>
      <c r="AP61" s="4" t="s">
        <v>202</v>
      </c>
      <c r="AQ61" s="4" t="s">
        <v>206</v>
      </c>
      <c r="AR61" s="4" t="s">
        <v>207</v>
      </c>
      <c r="AS61" s="4" t="s">
        <v>208</v>
      </c>
      <c r="AT61" s="4" t="s">
        <v>49</v>
      </c>
    </row>
    <row r="62" spans="1:46" ht="75" x14ac:dyDescent="0.25">
      <c r="A62" s="4">
        <v>39255016</v>
      </c>
      <c r="B62" s="4" t="str">
        <f>""</f>
        <v/>
      </c>
      <c r="C62" s="4" t="str">
        <f t="shared" si="7"/>
        <v>300100290001</v>
      </c>
      <c r="D62" s="4">
        <v>15</v>
      </c>
      <c r="E62" s="4" t="s">
        <v>132</v>
      </c>
      <c r="F62" s="4" t="s">
        <v>201</v>
      </c>
      <c r="G62" s="4" t="str">
        <f>"39255016"</f>
        <v>39255016</v>
      </c>
      <c r="H62" s="4" t="str">
        <f t="shared" si="8"/>
        <v>SILLON QHAPAX VISITA</v>
      </c>
      <c r="I62" s="4" t="str">
        <f t="shared" si="6"/>
        <v>N/A</v>
      </c>
      <c r="J62" s="4" t="s">
        <v>49</v>
      </c>
      <c r="K62" s="4"/>
      <c r="L62" s="4" t="s">
        <v>202</v>
      </c>
      <c r="M62" s="4" t="s">
        <v>49</v>
      </c>
      <c r="N62" s="4" t="s">
        <v>113</v>
      </c>
      <c r="O62" s="4" t="s">
        <v>203</v>
      </c>
      <c r="P62" s="4" t="s">
        <v>204</v>
      </c>
      <c r="Q62" s="4" t="s">
        <v>54</v>
      </c>
      <c r="R62" s="4" t="s">
        <v>55</v>
      </c>
      <c r="S62" s="4" t="s">
        <v>56</v>
      </c>
      <c r="T62" s="4">
        <v>6</v>
      </c>
      <c r="U62" s="4" t="s">
        <v>57</v>
      </c>
      <c r="V62" s="4">
        <v>97459</v>
      </c>
      <c r="W62" s="4" t="s">
        <v>58</v>
      </c>
      <c r="X62" s="4">
        <v>1725514309</v>
      </c>
      <c r="Y62" s="4" t="s">
        <v>197</v>
      </c>
      <c r="Z62" s="4" t="s">
        <v>55</v>
      </c>
      <c r="AA62" s="4" t="s">
        <v>60</v>
      </c>
      <c r="AB62" s="4" t="s">
        <v>61</v>
      </c>
      <c r="AC62" s="4">
        <v>443</v>
      </c>
      <c r="AD62" s="4" t="s">
        <v>62</v>
      </c>
      <c r="AE62" s="4" t="s">
        <v>55</v>
      </c>
      <c r="AF62" s="4" t="s">
        <v>55</v>
      </c>
      <c r="AG62" s="4" t="s">
        <v>205</v>
      </c>
      <c r="AH62" s="4">
        <v>840103</v>
      </c>
      <c r="AI62" s="4" t="s">
        <v>139</v>
      </c>
      <c r="AJ62" s="4" t="s">
        <v>55</v>
      </c>
      <c r="AK62" s="5">
        <v>45610</v>
      </c>
      <c r="AL62" s="6">
        <v>45611</v>
      </c>
      <c r="AM62" s="6">
        <v>46081</v>
      </c>
      <c r="AN62" s="4">
        <v>10</v>
      </c>
      <c r="AO62" s="6">
        <v>49260</v>
      </c>
      <c r="AP62" s="4" t="s">
        <v>202</v>
      </c>
      <c r="AQ62" s="4" t="s">
        <v>206</v>
      </c>
      <c r="AR62" s="4" t="s">
        <v>207</v>
      </c>
      <c r="AS62" s="4" t="s">
        <v>208</v>
      </c>
      <c r="AT62" s="4" t="s">
        <v>49</v>
      </c>
    </row>
    <row r="63" spans="1:46" ht="75" x14ac:dyDescent="0.25">
      <c r="A63" s="4">
        <v>39255017</v>
      </c>
      <c r="B63" s="4" t="str">
        <f>""</f>
        <v/>
      </c>
      <c r="C63" s="4" t="str">
        <f t="shared" si="7"/>
        <v>300100290001</v>
      </c>
      <c r="D63" s="4">
        <v>15</v>
      </c>
      <c r="E63" s="4" t="s">
        <v>132</v>
      </c>
      <c r="F63" s="4" t="s">
        <v>201</v>
      </c>
      <c r="G63" s="4" t="str">
        <f>"39255017"</f>
        <v>39255017</v>
      </c>
      <c r="H63" s="4" t="str">
        <f t="shared" si="8"/>
        <v>SILLON QHAPAX VISITA</v>
      </c>
      <c r="I63" s="4" t="str">
        <f>""</f>
        <v/>
      </c>
      <c r="J63" s="4" t="s">
        <v>49</v>
      </c>
      <c r="K63" s="4"/>
      <c r="L63" s="4" t="s">
        <v>202</v>
      </c>
      <c r="M63" s="4" t="s">
        <v>49</v>
      </c>
      <c r="N63" s="4" t="s">
        <v>113</v>
      </c>
      <c r="O63" s="4" t="s">
        <v>203</v>
      </c>
      <c r="P63" s="4" t="s">
        <v>204</v>
      </c>
      <c r="Q63" s="4" t="s">
        <v>54</v>
      </c>
      <c r="R63" s="4" t="s">
        <v>55</v>
      </c>
      <c r="S63" s="4" t="s">
        <v>56</v>
      </c>
      <c r="T63" s="4">
        <v>6</v>
      </c>
      <c r="U63" s="4" t="s">
        <v>57</v>
      </c>
      <c r="V63" s="4">
        <v>97459</v>
      </c>
      <c r="W63" s="4" t="s">
        <v>58</v>
      </c>
      <c r="X63" s="4">
        <v>1725514309</v>
      </c>
      <c r="Y63" s="4" t="s">
        <v>197</v>
      </c>
      <c r="Z63" s="4" t="s">
        <v>55</v>
      </c>
      <c r="AA63" s="4" t="s">
        <v>60</v>
      </c>
      <c r="AB63" s="4" t="s">
        <v>61</v>
      </c>
      <c r="AC63" s="4">
        <v>443</v>
      </c>
      <c r="AD63" s="4" t="s">
        <v>62</v>
      </c>
      <c r="AE63" s="4" t="s">
        <v>55</v>
      </c>
      <c r="AF63" s="4" t="s">
        <v>55</v>
      </c>
      <c r="AG63" s="4" t="s">
        <v>205</v>
      </c>
      <c r="AH63" s="4">
        <v>840103</v>
      </c>
      <c r="AI63" s="4" t="s">
        <v>139</v>
      </c>
      <c r="AJ63" s="4" t="s">
        <v>55</v>
      </c>
      <c r="AK63" s="5">
        <v>45610</v>
      </c>
      <c r="AL63" s="6">
        <v>45611</v>
      </c>
      <c r="AM63" s="6">
        <v>46081</v>
      </c>
      <c r="AN63" s="4">
        <v>10</v>
      </c>
      <c r="AO63" s="6">
        <v>49260</v>
      </c>
      <c r="AP63" s="4" t="s">
        <v>202</v>
      </c>
      <c r="AQ63" s="4" t="s">
        <v>206</v>
      </c>
      <c r="AR63" s="4" t="s">
        <v>207</v>
      </c>
      <c r="AS63" s="4" t="s">
        <v>208</v>
      </c>
      <c r="AT63" s="4" t="s">
        <v>49</v>
      </c>
    </row>
    <row r="64" spans="1:46" ht="75" x14ac:dyDescent="0.25">
      <c r="A64" s="4">
        <v>39255018</v>
      </c>
      <c r="B64" s="4" t="str">
        <f>""</f>
        <v/>
      </c>
      <c r="C64" s="4" t="str">
        <f t="shared" si="7"/>
        <v>300100290001</v>
      </c>
      <c r="D64" s="4">
        <v>15</v>
      </c>
      <c r="E64" s="4" t="s">
        <v>132</v>
      </c>
      <c r="F64" s="4" t="s">
        <v>201</v>
      </c>
      <c r="G64" s="4" t="str">
        <f>"39255018"</f>
        <v>39255018</v>
      </c>
      <c r="H64" s="4" t="str">
        <f t="shared" si="8"/>
        <v>SILLON QHAPAX VISITA</v>
      </c>
      <c r="I64" s="4" t="str">
        <f t="shared" ref="I64:I104" si="9">"N/A"</f>
        <v>N/A</v>
      </c>
      <c r="J64" s="4" t="s">
        <v>49</v>
      </c>
      <c r="K64" s="4"/>
      <c r="L64" s="4" t="s">
        <v>202</v>
      </c>
      <c r="M64" s="4" t="s">
        <v>49</v>
      </c>
      <c r="N64" s="4" t="s">
        <v>113</v>
      </c>
      <c r="O64" s="4" t="s">
        <v>203</v>
      </c>
      <c r="P64" s="4" t="s">
        <v>204</v>
      </c>
      <c r="Q64" s="4" t="s">
        <v>54</v>
      </c>
      <c r="R64" s="4" t="s">
        <v>55</v>
      </c>
      <c r="S64" s="4" t="s">
        <v>56</v>
      </c>
      <c r="T64" s="4">
        <v>6</v>
      </c>
      <c r="U64" s="4" t="s">
        <v>57</v>
      </c>
      <c r="V64" s="4">
        <v>97459</v>
      </c>
      <c r="W64" s="4" t="s">
        <v>58</v>
      </c>
      <c r="X64" s="4">
        <v>1725514309</v>
      </c>
      <c r="Y64" s="4" t="s">
        <v>197</v>
      </c>
      <c r="Z64" s="4" t="s">
        <v>55</v>
      </c>
      <c r="AA64" s="4" t="s">
        <v>60</v>
      </c>
      <c r="AB64" s="4" t="s">
        <v>61</v>
      </c>
      <c r="AC64" s="4">
        <v>443</v>
      </c>
      <c r="AD64" s="4" t="s">
        <v>62</v>
      </c>
      <c r="AE64" s="4" t="s">
        <v>55</v>
      </c>
      <c r="AF64" s="4" t="s">
        <v>55</v>
      </c>
      <c r="AG64" s="4" t="s">
        <v>205</v>
      </c>
      <c r="AH64" s="4">
        <v>840103</v>
      </c>
      <c r="AI64" s="4" t="s">
        <v>139</v>
      </c>
      <c r="AJ64" s="4" t="s">
        <v>55</v>
      </c>
      <c r="AK64" s="5">
        <v>45610</v>
      </c>
      <c r="AL64" s="6">
        <v>45611</v>
      </c>
      <c r="AM64" s="6">
        <v>46081</v>
      </c>
      <c r="AN64" s="4">
        <v>10</v>
      </c>
      <c r="AO64" s="6">
        <v>49260</v>
      </c>
      <c r="AP64" s="4" t="s">
        <v>202</v>
      </c>
      <c r="AQ64" s="4" t="s">
        <v>206</v>
      </c>
      <c r="AR64" s="4" t="s">
        <v>207</v>
      </c>
      <c r="AS64" s="4" t="s">
        <v>208</v>
      </c>
      <c r="AT64" s="4" t="s">
        <v>49</v>
      </c>
    </row>
    <row r="65" spans="1:46" ht="75" x14ac:dyDescent="0.25">
      <c r="A65" s="4">
        <v>39255019</v>
      </c>
      <c r="B65" s="4" t="str">
        <f>""</f>
        <v/>
      </c>
      <c r="C65" s="4" t="str">
        <f t="shared" ref="C65:C90" si="10">"300100280007"</f>
        <v>300100280007</v>
      </c>
      <c r="D65" s="4">
        <v>15</v>
      </c>
      <c r="E65" s="4" t="s">
        <v>132</v>
      </c>
      <c r="F65" s="4" t="s">
        <v>209</v>
      </c>
      <c r="G65" s="4" t="str">
        <f>"39255019"</f>
        <v>39255019</v>
      </c>
      <c r="H65" s="4" t="str">
        <f t="shared" ref="H65:H90" si="11">"SILLA DE VISITA"</f>
        <v>SILLA DE VISITA</v>
      </c>
      <c r="I65" s="4" t="str">
        <f t="shared" si="9"/>
        <v>N/A</v>
      </c>
      <c r="J65" s="4" t="s">
        <v>49</v>
      </c>
      <c r="K65" s="4"/>
      <c r="L65" s="4" t="s">
        <v>210</v>
      </c>
      <c r="M65" s="4" t="s">
        <v>49</v>
      </c>
      <c r="N65" s="4" t="s">
        <v>174</v>
      </c>
      <c r="O65" s="4" t="s">
        <v>203</v>
      </c>
      <c r="P65" s="4" t="s">
        <v>204</v>
      </c>
      <c r="Q65" s="4" t="s">
        <v>54</v>
      </c>
      <c r="R65" s="4" t="s">
        <v>55</v>
      </c>
      <c r="S65" s="4" t="s">
        <v>56</v>
      </c>
      <c r="T65" s="4">
        <v>6</v>
      </c>
      <c r="U65" s="4" t="s">
        <v>57</v>
      </c>
      <c r="V65" s="4">
        <v>97459</v>
      </c>
      <c r="W65" s="4" t="s">
        <v>58</v>
      </c>
      <c r="X65" s="4">
        <v>1711995694</v>
      </c>
      <c r="Y65" s="4" t="s">
        <v>169</v>
      </c>
      <c r="Z65" s="4" t="s">
        <v>55</v>
      </c>
      <c r="AA65" s="4" t="s">
        <v>60</v>
      </c>
      <c r="AB65" s="4" t="s">
        <v>61</v>
      </c>
      <c r="AC65" s="4">
        <v>443</v>
      </c>
      <c r="AD65" s="4" t="s">
        <v>62</v>
      </c>
      <c r="AE65" s="4" t="s">
        <v>55</v>
      </c>
      <c r="AF65" s="4" t="s">
        <v>55</v>
      </c>
      <c r="AG65" s="4" t="s">
        <v>205</v>
      </c>
      <c r="AH65" s="4">
        <v>840103</v>
      </c>
      <c r="AI65" s="4" t="s">
        <v>139</v>
      </c>
      <c r="AJ65" s="4" t="s">
        <v>55</v>
      </c>
      <c r="AK65" s="5">
        <v>45610</v>
      </c>
      <c r="AL65" s="6">
        <v>45611</v>
      </c>
      <c r="AM65" s="6">
        <v>46081</v>
      </c>
      <c r="AN65" s="4">
        <v>10</v>
      </c>
      <c r="AO65" s="6">
        <v>49260</v>
      </c>
      <c r="AP65" s="4" t="s">
        <v>210</v>
      </c>
      <c r="AQ65" s="4" t="s">
        <v>211</v>
      </c>
      <c r="AR65" s="4" t="s">
        <v>212</v>
      </c>
      <c r="AS65" s="4" t="s">
        <v>213</v>
      </c>
      <c r="AT65" s="4" t="s">
        <v>49</v>
      </c>
    </row>
    <row r="66" spans="1:46" ht="75" x14ac:dyDescent="0.25">
      <c r="A66" s="4">
        <v>39255020</v>
      </c>
      <c r="B66" s="4" t="str">
        <f>""</f>
        <v/>
      </c>
      <c r="C66" s="4" t="str">
        <f t="shared" si="10"/>
        <v>300100280007</v>
      </c>
      <c r="D66" s="4">
        <v>15</v>
      </c>
      <c r="E66" s="4" t="s">
        <v>132</v>
      </c>
      <c r="F66" s="4" t="s">
        <v>209</v>
      </c>
      <c r="G66" s="4" t="str">
        <f>"39255020"</f>
        <v>39255020</v>
      </c>
      <c r="H66" s="4" t="str">
        <f t="shared" si="11"/>
        <v>SILLA DE VISITA</v>
      </c>
      <c r="I66" s="4" t="str">
        <f t="shared" si="9"/>
        <v>N/A</v>
      </c>
      <c r="J66" s="4" t="s">
        <v>49</v>
      </c>
      <c r="K66" s="4"/>
      <c r="L66" s="4" t="s">
        <v>210</v>
      </c>
      <c r="M66" s="4" t="s">
        <v>49</v>
      </c>
      <c r="N66" s="4" t="s">
        <v>174</v>
      </c>
      <c r="O66" s="4" t="s">
        <v>203</v>
      </c>
      <c r="P66" s="4" t="s">
        <v>204</v>
      </c>
      <c r="Q66" s="4" t="s">
        <v>54</v>
      </c>
      <c r="R66" s="4" t="s">
        <v>55</v>
      </c>
      <c r="S66" s="4" t="s">
        <v>56</v>
      </c>
      <c r="T66" s="4">
        <v>6</v>
      </c>
      <c r="U66" s="4" t="s">
        <v>57</v>
      </c>
      <c r="V66" s="4">
        <v>97459</v>
      </c>
      <c r="W66" s="4" t="s">
        <v>58</v>
      </c>
      <c r="X66" s="4">
        <v>103542908</v>
      </c>
      <c r="Y66" s="4" t="s">
        <v>164</v>
      </c>
      <c r="Z66" s="4" t="s">
        <v>55</v>
      </c>
      <c r="AA66" s="4" t="s">
        <v>60</v>
      </c>
      <c r="AB66" s="4" t="s">
        <v>61</v>
      </c>
      <c r="AC66" s="4">
        <v>443</v>
      </c>
      <c r="AD66" s="4" t="s">
        <v>62</v>
      </c>
      <c r="AE66" s="4" t="s">
        <v>55</v>
      </c>
      <c r="AF66" s="4" t="s">
        <v>55</v>
      </c>
      <c r="AG66" s="4" t="s">
        <v>205</v>
      </c>
      <c r="AH66" s="4">
        <v>840103</v>
      </c>
      <c r="AI66" s="4" t="s">
        <v>139</v>
      </c>
      <c r="AJ66" s="4" t="s">
        <v>55</v>
      </c>
      <c r="AK66" s="5">
        <v>45610</v>
      </c>
      <c r="AL66" s="6">
        <v>45611</v>
      </c>
      <c r="AM66" s="6">
        <v>46081</v>
      </c>
      <c r="AN66" s="4">
        <v>10</v>
      </c>
      <c r="AO66" s="6">
        <v>49260</v>
      </c>
      <c r="AP66" s="4" t="s">
        <v>210</v>
      </c>
      <c r="AQ66" s="4" t="s">
        <v>211</v>
      </c>
      <c r="AR66" s="4" t="s">
        <v>212</v>
      </c>
      <c r="AS66" s="4" t="s">
        <v>213</v>
      </c>
      <c r="AT66" s="4" t="s">
        <v>49</v>
      </c>
    </row>
    <row r="67" spans="1:46" ht="75" x14ac:dyDescent="0.25">
      <c r="A67" s="4">
        <v>39255021</v>
      </c>
      <c r="B67" s="4" t="str">
        <f>""</f>
        <v/>
      </c>
      <c r="C67" s="4" t="str">
        <f t="shared" si="10"/>
        <v>300100280007</v>
      </c>
      <c r="D67" s="4">
        <v>15</v>
      </c>
      <c r="E67" s="4" t="s">
        <v>132</v>
      </c>
      <c r="F67" s="4" t="s">
        <v>209</v>
      </c>
      <c r="G67" s="4" t="str">
        <f>"39255021"</f>
        <v>39255021</v>
      </c>
      <c r="H67" s="4" t="str">
        <f t="shared" si="11"/>
        <v>SILLA DE VISITA</v>
      </c>
      <c r="I67" s="4" t="str">
        <f t="shared" si="9"/>
        <v>N/A</v>
      </c>
      <c r="J67" s="4" t="s">
        <v>49</v>
      </c>
      <c r="K67" s="4"/>
      <c r="L67" s="4" t="s">
        <v>210</v>
      </c>
      <c r="M67" s="4" t="s">
        <v>49</v>
      </c>
      <c r="N67" s="4" t="s">
        <v>174</v>
      </c>
      <c r="O67" s="4" t="s">
        <v>203</v>
      </c>
      <c r="P67" s="4" t="s">
        <v>204</v>
      </c>
      <c r="Q67" s="4" t="s">
        <v>54</v>
      </c>
      <c r="R67" s="4" t="s">
        <v>55</v>
      </c>
      <c r="S67" s="4" t="s">
        <v>56</v>
      </c>
      <c r="T67" s="4">
        <v>6</v>
      </c>
      <c r="U67" s="4" t="s">
        <v>57</v>
      </c>
      <c r="V67" s="4">
        <v>97459</v>
      </c>
      <c r="W67" s="4" t="s">
        <v>58</v>
      </c>
      <c r="X67" s="4">
        <v>103542908</v>
      </c>
      <c r="Y67" s="4" t="s">
        <v>164</v>
      </c>
      <c r="Z67" s="4" t="s">
        <v>55</v>
      </c>
      <c r="AA67" s="4" t="s">
        <v>60</v>
      </c>
      <c r="AB67" s="4" t="s">
        <v>61</v>
      </c>
      <c r="AC67" s="4">
        <v>443</v>
      </c>
      <c r="AD67" s="4" t="s">
        <v>62</v>
      </c>
      <c r="AE67" s="4" t="s">
        <v>55</v>
      </c>
      <c r="AF67" s="4" t="s">
        <v>55</v>
      </c>
      <c r="AG67" s="4" t="s">
        <v>205</v>
      </c>
      <c r="AH67" s="4">
        <v>840103</v>
      </c>
      <c r="AI67" s="4" t="s">
        <v>139</v>
      </c>
      <c r="AJ67" s="4" t="s">
        <v>55</v>
      </c>
      <c r="AK67" s="5">
        <v>45610</v>
      </c>
      <c r="AL67" s="6">
        <v>45611</v>
      </c>
      <c r="AM67" s="6">
        <v>46081</v>
      </c>
      <c r="AN67" s="4">
        <v>10</v>
      </c>
      <c r="AO67" s="6">
        <v>49260</v>
      </c>
      <c r="AP67" s="4" t="s">
        <v>210</v>
      </c>
      <c r="AQ67" s="4" t="s">
        <v>211</v>
      </c>
      <c r="AR67" s="4" t="s">
        <v>212</v>
      </c>
      <c r="AS67" s="4" t="s">
        <v>213</v>
      </c>
      <c r="AT67" s="4" t="s">
        <v>49</v>
      </c>
    </row>
    <row r="68" spans="1:46" ht="75" x14ac:dyDescent="0.25">
      <c r="A68" s="4">
        <v>39255022</v>
      </c>
      <c r="B68" s="4" t="str">
        <f>""</f>
        <v/>
      </c>
      <c r="C68" s="4" t="str">
        <f t="shared" si="10"/>
        <v>300100280007</v>
      </c>
      <c r="D68" s="4">
        <v>15</v>
      </c>
      <c r="E68" s="4" t="s">
        <v>132</v>
      </c>
      <c r="F68" s="4" t="s">
        <v>209</v>
      </c>
      <c r="G68" s="4" t="str">
        <f>"39255022"</f>
        <v>39255022</v>
      </c>
      <c r="H68" s="4" t="str">
        <f t="shared" si="11"/>
        <v>SILLA DE VISITA</v>
      </c>
      <c r="I68" s="4" t="str">
        <f t="shared" si="9"/>
        <v>N/A</v>
      </c>
      <c r="J68" s="4" t="s">
        <v>49</v>
      </c>
      <c r="K68" s="4"/>
      <c r="L68" s="4" t="s">
        <v>210</v>
      </c>
      <c r="M68" s="4" t="s">
        <v>49</v>
      </c>
      <c r="N68" s="4" t="s">
        <v>174</v>
      </c>
      <c r="O68" s="4" t="s">
        <v>203</v>
      </c>
      <c r="P68" s="4" t="s">
        <v>204</v>
      </c>
      <c r="Q68" s="4" t="s">
        <v>54</v>
      </c>
      <c r="R68" s="4" t="s">
        <v>55</v>
      </c>
      <c r="S68" s="4" t="s">
        <v>56</v>
      </c>
      <c r="T68" s="4">
        <v>6</v>
      </c>
      <c r="U68" s="4" t="s">
        <v>57</v>
      </c>
      <c r="V68" s="4">
        <v>97459</v>
      </c>
      <c r="W68" s="4" t="s">
        <v>58</v>
      </c>
      <c r="X68" s="4">
        <v>103542908</v>
      </c>
      <c r="Y68" s="4" t="s">
        <v>164</v>
      </c>
      <c r="Z68" s="4" t="s">
        <v>55</v>
      </c>
      <c r="AA68" s="4" t="s">
        <v>60</v>
      </c>
      <c r="AB68" s="4" t="s">
        <v>61</v>
      </c>
      <c r="AC68" s="4">
        <v>443</v>
      </c>
      <c r="AD68" s="4" t="s">
        <v>62</v>
      </c>
      <c r="AE68" s="4" t="s">
        <v>55</v>
      </c>
      <c r="AF68" s="4" t="s">
        <v>55</v>
      </c>
      <c r="AG68" s="4" t="s">
        <v>205</v>
      </c>
      <c r="AH68" s="4">
        <v>840103</v>
      </c>
      <c r="AI68" s="4" t="s">
        <v>139</v>
      </c>
      <c r="AJ68" s="4" t="s">
        <v>55</v>
      </c>
      <c r="AK68" s="5">
        <v>45610</v>
      </c>
      <c r="AL68" s="6">
        <v>45611</v>
      </c>
      <c r="AM68" s="6">
        <v>46081</v>
      </c>
      <c r="AN68" s="4">
        <v>10</v>
      </c>
      <c r="AO68" s="6">
        <v>49260</v>
      </c>
      <c r="AP68" s="4" t="s">
        <v>210</v>
      </c>
      <c r="AQ68" s="4" t="s">
        <v>211</v>
      </c>
      <c r="AR68" s="4" t="s">
        <v>212</v>
      </c>
      <c r="AS68" s="4" t="s">
        <v>213</v>
      </c>
      <c r="AT68" s="4" t="s">
        <v>49</v>
      </c>
    </row>
    <row r="69" spans="1:46" ht="75" x14ac:dyDescent="0.25">
      <c r="A69" s="4">
        <v>39255023</v>
      </c>
      <c r="B69" s="4" t="str">
        <f>""</f>
        <v/>
      </c>
      <c r="C69" s="4" t="str">
        <f t="shared" si="10"/>
        <v>300100280007</v>
      </c>
      <c r="D69" s="4">
        <v>15</v>
      </c>
      <c r="E69" s="4" t="s">
        <v>132</v>
      </c>
      <c r="F69" s="4" t="s">
        <v>209</v>
      </c>
      <c r="G69" s="4" t="str">
        <f>"39255023"</f>
        <v>39255023</v>
      </c>
      <c r="H69" s="4" t="str">
        <f t="shared" si="11"/>
        <v>SILLA DE VISITA</v>
      </c>
      <c r="I69" s="4" t="str">
        <f t="shared" si="9"/>
        <v>N/A</v>
      </c>
      <c r="J69" s="4" t="s">
        <v>49</v>
      </c>
      <c r="K69" s="4"/>
      <c r="L69" s="4" t="s">
        <v>210</v>
      </c>
      <c r="M69" s="4" t="s">
        <v>49</v>
      </c>
      <c r="N69" s="4" t="s">
        <v>174</v>
      </c>
      <c r="O69" s="4" t="s">
        <v>203</v>
      </c>
      <c r="P69" s="4" t="s">
        <v>204</v>
      </c>
      <c r="Q69" s="4" t="s">
        <v>54</v>
      </c>
      <c r="R69" s="4" t="s">
        <v>55</v>
      </c>
      <c r="S69" s="4" t="s">
        <v>56</v>
      </c>
      <c r="T69" s="4">
        <v>6</v>
      </c>
      <c r="U69" s="4" t="s">
        <v>57</v>
      </c>
      <c r="V69" s="4">
        <v>97459</v>
      </c>
      <c r="W69" s="4" t="s">
        <v>58</v>
      </c>
      <c r="X69" s="4">
        <v>1711995694</v>
      </c>
      <c r="Y69" s="4" t="s">
        <v>169</v>
      </c>
      <c r="Z69" s="4" t="s">
        <v>55</v>
      </c>
      <c r="AA69" s="4" t="s">
        <v>60</v>
      </c>
      <c r="AB69" s="4" t="s">
        <v>61</v>
      </c>
      <c r="AC69" s="4">
        <v>443</v>
      </c>
      <c r="AD69" s="4" t="s">
        <v>62</v>
      </c>
      <c r="AE69" s="4" t="s">
        <v>55</v>
      </c>
      <c r="AF69" s="4" t="s">
        <v>55</v>
      </c>
      <c r="AG69" s="4" t="s">
        <v>205</v>
      </c>
      <c r="AH69" s="4">
        <v>840103</v>
      </c>
      <c r="AI69" s="4" t="s">
        <v>139</v>
      </c>
      <c r="AJ69" s="4" t="s">
        <v>55</v>
      </c>
      <c r="AK69" s="5">
        <v>45610</v>
      </c>
      <c r="AL69" s="6">
        <v>45611</v>
      </c>
      <c r="AM69" s="6">
        <v>46081</v>
      </c>
      <c r="AN69" s="4">
        <v>10</v>
      </c>
      <c r="AO69" s="6">
        <v>49260</v>
      </c>
      <c r="AP69" s="4" t="s">
        <v>210</v>
      </c>
      <c r="AQ69" s="4" t="s">
        <v>211</v>
      </c>
      <c r="AR69" s="4" t="s">
        <v>212</v>
      </c>
      <c r="AS69" s="4" t="s">
        <v>213</v>
      </c>
      <c r="AT69" s="4" t="s">
        <v>49</v>
      </c>
    </row>
    <row r="70" spans="1:46" ht="75" x14ac:dyDescent="0.25">
      <c r="A70" s="4">
        <v>39255024</v>
      </c>
      <c r="B70" s="4" t="str">
        <f>""</f>
        <v/>
      </c>
      <c r="C70" s="4" t="str">
        <f t="shared" si="10"/>
        <v>300100280007</v>
      </c>
      <c r="D70" s="4">
        <v>15</v>
      </c>
      <c r="E70" s="4" t="s">
        <v>132</v>
      </c>
      <c r="F70" s="4" t="s">
        <v>209</v>
      </c>
      <c r="G70" s="4" t="str">
        <f>"39255024"</f>
        <v>39255024</v>
      </c>
      <c r="H70" s="4" t="str">
        <f t="shared" si="11"/>
        <v>SILLA DE VISITA</v>
      </c>
      <c r="I70" s="4" t="str">
        <f t="shared" si="9"/>
        <v>N/A</v>
      </c>
      <c r="J70" s="4" t="s">
        <v>49</v>
      </c>
      <c r="K70" s="4"/>
      <c r="L70" s="4" t="s">
        <v>210</v>
      </c>
      <c r="M70" s="4" t="s">
        <v>49</v>
      </c>
      <c r="N70" s="4" t="s">
        <v>174</v>
      </c>
      <c r="O70" s="4" t="s">
        <v>203</v>
      </c>
      <c r="P70" s="4" t="s">
        <v>204</v>
      </c>
      <c r="Q70" s="4" t="s">
        <v>54</v>
      </c>
      <c r="R70" s="4" t="s">
        <v>55</v>
      </c>
      <c r="S70" s="4" t="s">
        <v>56</v>
      </c>
      <c r="T70" s="4">
        <v>6</v>
      </c>
      <c r="U70" s="4" t="s">
        <v>57</v>
      </c>
      <c r="V70" s="4">
        <v>97459</v>
      </c>
      <c r="W70" s="4" t="s">
        <v>58</v>
      </c>
      <c r="X70" s="4">
        <v>103542908</v>
      </c>
      <c r="Y70" s="4" t="s">
        <v>164</v>
      </c>
      <c r="Z70" s="4" t="s">
        <v>55</v>
      </c>
      <c r="AA70" s="4" t="s">
        <v>60</v>
      </c>
      <c r="AB70" s="4" t="s">
        <v>61</v>
      </c>
      <c r="AC70" s="4">
        <v>443</v>
      </c>
      <c r="AD70" s="4" t="s">
        <v>62</v>
      </c>
      <c r="AE70" s="4" t="s">
        <v>55</v>
      </c>
      <c r="AF70" s="4" t="s">
        <v>55</v>
      </c>
      <c r="AG70" s="4" t="s">
        <v>205</v>
      </c>
      <c r="AH70" s="4">
        <v>840103</v>
      </c>
      <c r="AI70" s="4" t="s">
        <v>139</v>
      </c>
      <c r="AJ70" s="4" t="s">
        <v>55</v>
      </c>
      <c r="AK70" s="5">
        <v>45610</v>
      </c>
      <c r="AL70" s="6">
        <v>45611</v>
      </c>
      <c r="AM70" s="6">
        <v>46081</v>
      </c>
      <c r="AN70" s="4">
        <v>10</v>
      </c>
      <c r="AO70" s="6">
        <v>49260</v>
      </c>
      <c r="AP70" s="4" t="s">
        <v>210</v>
      </c>
      <c r="AQ70" s="4" t="s">
        <v>211</v>
      </c>
      <c r="AR70" s="4" t="s">
        <v>212</v>
      </c>
      <c r="AS70" s="4" t="s">
        <v>213</v>
      </c>
      <c r="AT70" s="4" t="s">
        <v>49</v>
      </c>
    </row>
    <row r="71" spans="1:46" ht="75" x14ac:dyDescent="0.25">
      <c r="A71" s="4">
        <v>39255025</v>
      </c>
      <c r="B71" s="4" t="str">
        <f>""</f>
        <v/>
      </c>
      <c r="C71" s="4" t="str">
        <f t="shared" si="10"/>
        <v>300100280007</v>
      </c>
      <c r="D71" s="4">
        <v>15</v>
      </c>
      <c r="E71" s="4" t="s">
        <v>132</v>
      </c>
      <c r="F71" s="4" t="s">
        <v>209</v>
      </c>
      <c r="G71" s="4" t="str">
        <f>"39255025"</f>
        <v>39255025</v>
      </c>
      <c r="H71" s="4" t="str">
        <f t="shared" si="11"/>
        <v>SILLA DE VISITA</v>
      </c>
      <c r="I71" s="4" t="str">
        <f t="shared" si="9"/>
        <v>N/A</v>
      </c>
      <c r="J71" s="4" t="s">
        <v>49</v>
      </c>
      <c r="K71" s="4"/>
      <c r="L71" s="4" t="s">
        <v>210</v>
      </c>
      <c r="M71" s="4" t="s">
        <v>49</v>
      </c>
      <c r="N71" s="4" t="s">
        <v>174</v>
      </c>
      <c r="O71" s="4" t="s">
        <v>203</v>
      </c>
      <c r="P71" s="4" t="s">
        <v>204</v>
      </c>
      <c r="Q71" s="4" t="s">
        <v>54</v>
      </c>
      <c r="R71" s="4" t="s">
        <v>55</v>
      </c>
      <c r="S71" s="4" t="s">
        <v>56</v>
      </c>
      <c r="T71" s="4">
        <v>6</v>
      </c>
      <c r="U71" s="4" t="s">
        <v>57</v>
      </c>
      <c r="V71" s="4">
        <v>97459</v>
      </c>
      <c r="W71" s="4" t="s">
        <v>58</v>
      </c>
      <c r="X71" s="4">
        <v>103542908</v>
      </c>
      <c r="Y71" s="4" t="s">
        <v>164</v>
      </c>
      <c r="Z71" s="4" t="s">
        <v>55</v>
      </c>
      <c r="AA71" s="4" t="s">
        <v>60</v>
      </c>
      <c r="AB71" s="4" t="s">
        <v>61</v>
      </c>
      <c r="AC71" s="4">
        <v>443</v>
      </c>
      <c r="AD71" s="4" t="s">
        <v>62</v>
      </c>
      <c r="AE71" s="4" t="s">
        <v>55</v>
      </c>
      <c r="AF71" s="4" t="s">
        <v>55</v>
      </c>
      <c r="AG71" s="4" t="s">
        <v>205</v>
      </c>
      <c r="AH71" s="4">
        <v>840103</v>
      </c>
      <c r="AI71" s="4" t="s">
        <v>139</v>
      </c>
      <c r="AJ71" s="4" t="s">
        <v>55</v>
      </c>
      <c r="AK71" s="5">
        <v>45610</v>
      </c>
      <c r="AL71" s="6">
        <v>45611</v>
      </c>
      <c r="AM71" s="6">
        <v>46081</v>
      </c>
      <c r="AN71" s="4">
        <v>10</v>
      </c>
      <c r="AO71" s="6">
        <v>49260</v>
      </c>
      <c r="AP71" s="4" t="s">
        <v>210</v>
      </c>
      <c r="AQ71" s="4" t="s">
        <v>211</v>
      </c>
      <c r="AR71" s="4" t="s">
        <v>212</v>
      </c>
      <c r="AS71" s="4" t="s">
        <v>213</v>
      </c>
      <c r="AT71" s="4" t="s">
        <v>49</v>
      </c>
    </row>
    <row r="72" spans="1:46" ht="75" x14ac:dyDescent="0.25">
      <c r="A72" s="4">
        <v>39255026</v>
      </c>
      <c r="B72" s="4" t="str">
        <f>""</f>
        <v/>
      </c>
      <c r="C72" s="4" t="str">
        <f t="shared" si="10"/>
        <v>300100280007</v>
      </c>
      <c r="D72" s="4">
        <v>15</v>
      </c>
      <c r="E72" s="4" t="s">
        <v>132</v>
      </c>
      <c r="F72" s="4" t="s">
        <v>209</v>
      </c>
      <c r="G72" s="4" t="str">
        <f>"39255026"</f>
        <v>39255026</v>
      </c>
      <c r="H72" s="4" t="str">
        <f t="shared" si="11"/>
        <v>SILLA DE VISITA</v>
      </c>
      <c r="I72" s="4" t="str">
        <f t="shared" si="9"/>
        <v>N/A</v>
      </c>
      <c r="J72" s="4" t="s">
        <v>49</v>
      </c>
      <c r="K72" s="4"/>
      <c r="L72" s="4" t="s">
        <v>210</v>
      </c>
      <c r="M72" s="4" t="s">
        <v>49</v>
      </c>
      <c r="N72" s="4" t="s">
        <v>174</v>
      </c>
      <c r="O72" s="4" t="s">
        <v>203</v>
      </c>
      <c r="P72" s="4" t="s">
        <v>204</v>
      </c>
      <c r="Q72" s="4" t="s">
        <v>54</v>
      </c>
      <c r="R72" s="4" t="s">
        <v>55</v>
      </c>
      <c r="S72" s="4" t="s">
        <v>56</v>
      </c>
      <c r="T72" s="4">
        <v>6</v>
      </c>
      <c r="U72" s="4" t="s">
        <v>57</v>
      </c>
      <c r="V72" s="4">
        <v>97459</v>
      </c>
      <c r="W72" s="4" t="s">
        <v>58</v>
      </c>
      <c r="X72" s="4">
        <v>1711995694</v>
      </c>
      <c r="Y72" s="4" t="s">
        <v>169</v>
      </c>
      <c r="Z72" s="4" t="s">
        <v>55</v>
      </c>
      <c r="AA72" s="4" t="s">
        <v>60</v>
      </c>
      <c r="AB72" s="4" t="s">
        <v>61</v>
      </c>
      <c r="AC72" s="4">
        <v>443</v>
      </c>
      <c r="AD72" s="4" t="s">
        <v>62</v>
      </c>
      <c r="AE72" s="4" t="s">
        <v>55</v>
      </c>
      <c r="AF72" s="4" t="s">
        <v>55</v>
      </c>
      <c r="AG72" s="4" t="s">
        <v>205</v>
      </c>
      <c r="AH72" s="4">
        <v>840103</v>
      </c>
      <c r="AI72" s="4" t="s">
        <v>139</v>
      </c>
      <c r="AJ72" s="4" t="s">
        <v>55</v>
      </c>
      <c r="AK72" s="5">
        <v>45610</v>
      </c>
      <c r="AL72" s="6">
        <v>45611</v>
      </c>
      <c r="AM72" s="6">
        <v>46081</v>
      </c>
      <c r="AN72" s="4">
        <v>10</v>
      </c>
      <c r="AO72" s="6">
        <v>49260</v>
      </c>
      <c r="AP72" s="4" t="s">
        <v>210</v>
      </c>
      <c r="AQ72" s="4" t="s">
        <v>211</v>
      </c>
      <c r="AR72" s="4" t="s">
        <v>212</v>
      </c>
      <c r="AS72" s="4" t="s">
        <v>213</v>
      </c>
      <c r="AT72" s="4" t="s">
        <v>49</v>
      </c>
    </row>
    <row r="73" spans="1:46" ht="75" x14ac:dyDescent="0.25">
      <c r="A73" s="4">
        <v>39255027</v>
      </c>
      <c r="B73" s="4" t="str">
        <f>""</f>
        <v/>
      </c>
      <c r="C73" s="4" t="str">
        <f t="shared" si="10"/>
        <v>300100280007</v>
      </c>
      <c r="D73" s="4">
        <v>15</v>
      </c>
      <c r="E73" s="4" t="s">
        <v>132</v>
      </c>
      <c r="F73" s="4" t="s">
        <v>209</v>
      </c>
      <c r="G73" s="4" t="str">
        <f>"39255027"</f>
        <v>39255027</v>
      </c>
      <c r="H73" s="4" t="str">
        <f t="shared" si="11"/>
        <v>SILLA DE VISITA</v>
      </c>
      <c r="I73" s="4" t="str">
        <f t="shared" si="9"/>
        <v>N/A</v>
      </c>
      <c r="J73" s="4" t="s">
        <v>49</v>
      </c>
      <c r="K73" s="4"/>
      <c r="L73" s="4" t="s">
        <v>210</v>
      </c>
      <c r="M73" s="4" t="s">
        <v>49</v>
      </c>
      <c r="N73" s="4" t="s">
        <v>174</v>
      </c>
      <c r="O73" s="4" t="s">
        <v>203</v>
      </c>
      <c r="P73" s="4" t="s">
        <v>204</v>
      </c>
      <c r="Q73" s="4" t="s">
        <v>54</v>
      </c>
      <c r="R73" s="4" t="s">
        <v>55</v>
      </c>
      <c r="S73" s="4" t="s">
        <v>56</v>
      </c>
      <c r="T73" s="4">
        <v>6</v>
      </c>
      <c r="U73" s="4" t="s">
        <v>57</v>
      </c>
      <c r="V73" s="4">
        <v>97459</v>
      </c>
      <c r="W73" s="4" t="s">
        <v>58</v>
      </c>
      <c r="X73" s="4">
        <v>1717662512</v>
      </c>
      <c r="Y73" s="4" t="s">
        <v>71</v>
      </c>
      <c r="Z73" s="4" t="s">
        <v>55</v>
      </c>
      <c r="AA73" s="4" t="s">
        <v>60</v>
      </c>
      <c r="AB73" s="4" t="s">
        <v>61</v>
      </c>
      <c r="AC73" s="4">
        <v>443</v>
      </c>
      <c r="AD73" s="4" t="s">
        <v>62</v>
      </c>
      <c r="AE73" s="4" t="s">
        <v>55</v>
      </c>
      <c r="AF73" s="4" t="s">
        <v>55</v>
      </c>
      <c r="AG73" s="4" t="s">
        <v>205</v>
      </c>
      <c r="AH73" s="4">
        <v>840103</v>
      </c>
      <c r="AI73" s="4" t="s">
        <v>139</v>
      </c>
      <c r="AJ73" s="4" t="s">
        <v>55</v>
      </c>
      <c r="AK73" s="5">
        <v>45610</v>
      </c>
      <c r="AL73" s="6">
        <v>45611</v>
      </c>
      <c r="AM73" s="6">
        <v>46081</v>
      </c>
      <c r="AN73" s="4">
        <v>10</v>
      </c>
      <c r="AO73" s="6">
        <v>49260</v>
      </c>
      <c r="AP73" s="4" t="s">
        <v>210</v>
      </c>
      <c r="AQ73" s="4" t="s">
        <v>211</v>
      </c>
      <c r="AR73" s="4" t="s">
        <v>212</v>
      </c>
      <c r="AS73" s="4" t="s">
        <v>213</v>
      </c>
      <c r="AT73" s="4" t="s">
        <v>49</v>
      </c>
    </row>
    <row r="74" spans="1:46" ht="75" x14ac:dyDescent="0.25">
      <c r="A74" s="4">
        <v>39255028</v>
      </c>
      <c r="B74" s="4" t="str">
        <f>""</f>
        <v/>
      </c>
      <c r="C74" s="4" t="str">
        <f t="shared" si="10"/>
        <v>300100280007</v>
      </c>
      <c r="D74" s="4">
        <v>15</v>
      </c>
      <c r="E74" s="4" t="s">
        <v>132</v>
      </c>
      <c r="F74" s="4" t="s">
        <v>209</v>
      </c>
      <c r="G74" s="4" t="str">
        <f>"39255028"</f>
        <v>39255028</v>
      </c>
      <c r="H74" s="4" t="str">
        <f t="shared" si="11"/>
        <v>SILLA DE VISITA</v>
      </c>
      <c r="I74" s="4" t="str">
        <f t="shared" si="9"/>
        <v>N/A</v>
      </c>
      <c r="J74" s="4" t="s">
        <v>49</v>
      </c>
      <c r="K74" s="4"/>
      <c r="L74" s="4" t="s">
        <v>210</v>
      </c>
      <c r="M74" s="4" t="s">
        <v>49</v>
      </c>
      <c r="N74" s="4" t="s">
        <v>174</v>
      </c>
      <c r="O74" s="4" t="s">
        <v>203</v>
      </c>
      <c r="P74" s="4" t="s">
        <v>204</v>
      </c>
      <c r="Q74" s="4" t="s">
        <v>54</v>
      </c>
      <c r="R74" s="4" t="s">
        <v>55</v>
      </c>
      <c r="S74" s="4" t="s">
        <v>56</v>
      </c>
      <c r="T74" s="4">
        <v>6</v>
      </c>
      <c r="U74" s="4" t="s">
        <v>57</v>
      </c>
      <c r="V74" s="4">
        <v>97459</v>
      </c>
      <c r="W74" s="4" t="s">
        <v>58</v>
      </c>
      <c r="X74" s="4">
        <v>1717662512</v>
      </c>
      <c r="Y74" s="4" t="s">
        <v>71</v>
      </c>
      <c r="Z74" s="4" t="s">
        <v>55</v>
      </c>
      <c r="AA74" s="4" t="s">
        <v>60</v>
      </c>
      <c r="AB74" s="4" t="s">
        <v>61</v>
      </c>
      <c r="AC74" s="4">
        <v>443</v>
      </c>
      <c r="AD74" s="4" t="s">
        <v>62</v>
      </c>
      <c r="AE74" s="4" t="s">
        <v>55</v>
      </c>
      <c r="AF74" s="4" t="s">
        <v>55</v>
      </c>
      <c r="AG74" s="4" t="s">
        <v>205</v>
      </c>
      <c r="AH74" s="4">
        <v>840103</v>
      </c>
      <c r="AI74" s="4" t="s">
        <v>139</v>
      </c>
      <c r="AJ74" s="4" t="s">
        <v>55</v>
      </c>
      <c r="AK74" s="5">
        <v>45610</v>
      </c>
      <c r="AL74" s="6">
        <v>45611</v>
      </c>
      <c r="AM74" s="6">
        <v>46081</v>
      </c>
      <c r="AN74" s="4">
        <v>10</v>
      </c>
      <c r="AO74" s="6">
        <v>49260</v>
      </c>
      <c r="AP74" s="4" t="s">
        <v>210</v>
      </c>
      <c r="AQ74" s="4" t="s">
        <v>211</v>
      </c>
      <c r="AR74" s="4" t="s">
        <v>212</v>
      </c>
      <c r="AS74" s="4" t="s">
        <v>213</v>
      </c>
      <c r="AT74" s="4" t="s">
        <v>49</v>
      </c>
    </row>
    <row r="75" spans="1:46" ht="75" x14ac:dyDescent="0.25">
      <c r="A75" s="4">
        <v>39255029</v>
      </c>
      <c r="B75" s="4" t="str">
        <f>""</f>
        <v/>
      </c>
      <c r="C75" s="4" t="str">
        <f t="shared" si="10"/>
        <v>300100280007</v>
      </c>
      <c r="D75" s="4">
        <v>15</v>
      </c>
      <c r="E75" s="4" t="s">
        <v>132</v>
      </c>
      <c r="F75" s="4" t="s">
        <v>209</v>
      </c>
      <c r="G75" s="4" t="str">
        <f>"39255029"</f>
        <v>39255029</v>
      </c>
      <c r="H75" s="4" t="str">
        <f t="shared" si="11"/>
        <v>SILLA DE VISITA</v>
      </c>
      <c r="I75" s="4" t="str">
        <f t="shared" si="9"/>
        <v>N/A</v>
      </c>
      <c r="J75" s="4" t="s">
        <v>49</v>
      </c>
      <c r="K75" s="4"/>
      <c r="L75" s="4" t="s">
        <v>210</v>
      </c>
      <c r="M75" s="4" t="s">
        <v>49</v>
      </c>
      <c r="N75" s="4" t="s">
        <v>174</v>
      </c>
      <c r="O75" s="4" t="s">
        <v>203</v>
      </c>
      <c r="P75" s="4" t="s">
        <v>204</v>
      </c>
      <c r="Q75" s="4" t="s">
        <v>54</v>
      </c>
      <c r="R75" s="4" t="s">
        <v>55</v>
      </c>
      <c r="S75" s="4" t="s">
        <v>56</v>
      </c>
      <c r="T75" s="4">
        <v>6</v>
      </c>
      <c r="U75" s="4" t="s">
        <v>57</v>
      </c>
      <c r="V75" s="4">
        <v>97459</v>
      </c>
      <c r="W75" s="4" t="s">
        <v>58</v>
      </c>
      <c r="X75" s="4">
        <v>1723600886</v>
      </c>
      <c r="Y75" s="4" t="s">
        <v>214</v>
      </c>
      <c r="Z75" s="4" t="s">
        <v>55</v>
      </c>
      <c r="AA75" s="4" t="s">
        <v>60</v>
      </c>
      <c r="AB75" s="4" t="s">
        <v>61</v>
      </c>
      <c r="AC75" s="4">
        <v>443</v>
      </c>
      <c r="AD75" s="4" t="s">
        <v>62</v>
      </c>
      <c r="AE75" s="4" t="s">
        <v>55</v>
      </c>
      <c r="AF75" s="4" t="s">
        <v>55</v>
      </c>
      <c r="AG75" s="4" t="s">
        <v>205</v>
      </c>
      <c r="AH75" s="4">
        <v>840103</v>
      </c>
      <c r="AI75" s="4" t="s">
        <v>139</v>
      </c>
      <c r="AJ75" s="4" t="s">
        <v>55</v>
      </c>
      <c r="AK75" s="5">
        <v>45610</v>
      </c>
      <c r="AL75" s="6">
        <v>45611</v>
      </c>
      <c r="AM75" s="6">
        <v>46081</v>
      </c>
      <c r="AN75" s="4">
        <v>10</v>
      </c>
      <c r="AO75" s="6">
        <v>49260</v>
      </c>
      <c r="AP75" s="4" t="s">
        <v>210</v>
      </c>
      <c r="AQ75" s="4" t="s">
        <v>211</v>
      </c>
      <c r="AR75" s="4" t="s">
        <v>212</v>
      </c>
      <c r="AS75" s="4" t="s">
        <v>213</v>
      </c>
      <c r="AT75" s="4" t="s">
        <v>49</v>
      </c>
    </row>
    <row r="76" spans="1:46" ht="75" x14ac:dyDescent="0.25">
      <c r="A76" s="4">
        <v>39255030</v>
      </c>
      <c r="B76" s="4" t="str">
        <f>""</f>
        <v/>
      </c>
      <c r="C76" s="4" t="str">
        <f t="shared" si="10"/>
        <v>300100280007</v>
      </c>
      <c r="D76" s="4">
        <v>15</v>
      </c>
      <c r="E76" s="4" t="s">
        <v>132</v>
      </c>
      <c r="F76" s="4" t="s">
        <v>209</v>
      </c>
      <c r="G76" s="4" t="str">
        <f>"39255030"</f>
        <v>39255030</v>
      </c>
      <c r="H76" s="4" t="str">
        <f t="shared" si="11"/>
        <v>SILLA DE VISITA</v>
      </c>
      <c r="I76" s="4" t="str">
        <f t="shared" si="9"/>
        <v>N/A</v>
      </c>
      <c r="J76" s="4" t="s">
        <v>49</v>
      </c>
      <c r="K76" s="4"/>
      <c r="L76" s="4" t="s">
        <v>210</v>
      </c>
      <c r="M76" s="4" t="s">
        <v>49</v>
      </c>
      <c r="N76" s="4" t="s">
        <v>174</v>
      </c>
      <c r="O76" s="4" t="s">
        <v>203</v>
      </c>
      <c r="P76" s="4" t="s">
        <v>204</v>
      </c>
      <c r="Q76" s="4" t="s">
        <v>54</v>
      </c>
      <c r="R76" s="4" t="s">
        <v>55</v>
      </c>
      <c r="S76" s="4" t="s">
        <v>56</v>
      </c>
      <c r="T76" s="4">
        <v>6</v>
      </c>
      <c r="U76" s="4" t="s">
        <v>57</v>
      </c>
      <c r="V76" s="4">
        <v>97459</v>
      </c>
      <c r="W76" s="4" t="s">
        <v>58</v>
      </c>
      <c r="X76" s="4">
        <v>1711995694</v>
      </c>
      <c r="Y76" s="4" t="s">
        <v>169</v>
      </c>
      <c r="Z76" s="4" t="s">
        <v>55</v>
      </c>
      <c r="AA76" s="4" t="s">
        <v>60</v>
      </c>
      <c r="AB76" s="4" t="s">
        <v>61</v>
      </c>
      <c r="AC76" s="4">
        <v>443</v>
      </c>
      <c r="AD76" s="4" t="s">
        <v>62</v>
      </c>
      <c r="AE76" s="4" t="s">
        <v>55</v>
      </c>
      <c r="AF76" s="4" t="s">
        <v>55</v>
      </c>
      <c r="AG76" s="4" t="s">
        <v>205</v>
      </c>
      <c r="AH76" s="4">
        <v>840103</v>
      </c>
      <c r="AI76" s="4" t="s">
        <v>139</v>
      </c>
      <c r="AJ76" s="4" t="s">
        <v>55</v>
      </c>
      <c r="AK76" s="5">
        <v>45610</v>
      </c>
      <c r="AL76" s="6">
        <v>45611</v>
      </c>
      <c r="AM76" s="6">
        <v>46081</v>
      </c>
      <c r="AN76" s="4">
        <v>10</v>
      </c>
      <c r="AO76" s="6">
        <v>49260</v>
      </c>
      <c r="AP76" s="4" t="s">
        <v>210</v>
      </c>
      <c r="AQ76" s="4" t="s">
        <v>211</v>
      </c>
      <c r="AR76" s="4" t="s">
        <v>212</v>
      </c>
      <c r="AS76" s="4" t="s">
        <v>213</v>
      </c>
      <c r="AT76" s="4" t="s">
        <v>49</v>
      </c>
    </row>
    <row r="77" spans="1:46" ht="75" x14ac:dyDescent="0.25">
      <c r="A77" s="4">
        <v>39255031</v>
      </c>
      <c r="B77" s="4" t="str">
        <f>""</f>
        <v/>
      </c>
      <c r="C77" s="4" t="str">
        <f t="shared" si="10"/>
        <v>300100280007</v>
      </c>
      <c r="D77" s="4">
        <v>15</v>
      </c>
      <c r="E77" s="4" t="s">
        <v>132</v>
      </c>
      <c r="F77" s="4" t="s">
        <v>209</v>
      </c>
      <c r="G77" s="4" t="str">
        <f>"39255031"</f>
        <v>39255031</v>
      </c>
      <c r="H77" s="4" t="str">
        <f t="shared" si="11"/>
        <v>SILLA DE VISITA</v>
      </c>
      <c r="I77" s="4" t="str">
        <f t="shared" si="9"/>
        <v>N/A</v>
      </c>
      <c r="J77" s="4" t="s">
        <v>49</v>
      </c>
      <c r="K77" s="4"/>
      <c r="L77" s="4" t="s">
        <v>210</v>
      </c>
      <c r="M77" s="4" t="s">
        <v>49</v>
      </c>
      <c r="N77" s="4" t="s">
        <v>174</v>
      </c>
      <c r="O77" s="4" t="s">
        <v>203</v>
      </c>
      <c r="P77" s="4" t="s">
        <v>204</v>
      </c>
      <c r="Q77" s="4" t="s">
        <v>54</v>
      </c>
      <c r="R77" s="4" t="s">
        <v>55</v>
      </c>
      <c r="S77" s="4" t="s">
        <v>56</v>
      </c>
      <c r="T77" s="4">
        <v>6</v>
      </c>
      <c r="U77" s="4" t="s">
        <v>57</v>
      </c>
      <c r="V77" s="4">
        <v>97459</v>
      </c>
      <c r="W77" s="4" t="s">
        <v>58</v>
      </c>
      <c r="X77" s="4">
        <v>1003429584</v>
      </c>
      <c r="Y77" s="4" t="s">
        <v>95</v>
      </c>
      <c r="Z77" s="4" t="s">
        <v>55</v>
      </c>
      <c r="AA77" s="4" t="s">
        <v>60</v>
      </c>
      <c r="AB77" s="4" t="s">
        <v>61</v>
      </c>
      <c r="AC77" s="4">
        <v>443</v>
      </c>
      <c r="AD77" s="4" t="s">
        <v>62</v>
      </c>
      <c r="AE77" s="4" t="s">
        <v>55</v>
      </c>
      <c r="AF77" s="4" t="s">
        <v>55</v>
      </c>
      <c r="AG77" s="4" t="s">
        <v>205</v>
      </c>
      <c r="AH77" s="4">
        <v>840103</v>
      </c>
      <c r="AI77" s="4" t="s">
        <v>139</v>
      </c>
      <c r="AJ77" s="4" t="s">
        <v>55</v>
      </c>
      <c r="AK77" s="5">
        <v>45610</v>
      </c>
      <c r="AL77" s="6">
        <v>45611</v>
      </c>
      <c r="AM77" s="6">
        <v>46081</v>
      </c>
      <c r="AN77" s="4">
        <v>10</v>
      </c>
      <c r="AO77" s="6">
        <v>49260</v>
      </c>
      <c r="AP77" s="4" t="s">
        <v>210</v>
      </c>
      <c r="AQ77" s="4" t="s">
        <v>211</v>
      </c>
      <c r="AR77" s="4" t="s">
        <v>212</v>
      </c>
      <c r="AS77" s="4" t="s">
        <v>213</v>
      </c>
      <c r="AT77" s="4" t="s">
        <v>49</v>
      </c>
    </row>
    <row r="78" spans="1:46" ht="75" x14ac:dyDescent="0.25">
      <c r="A78" s="4">
        <v>39255032</v>
      </c>
      <c r="B78" s="4" t="str">
        <f>""</f>
        <v/>
      </c>
      <c r="C78" s="4" t="str">
        <f t="shared" si="10"/>
        <v>300100280007</v>
      </c>
      <c r="D78" s="4">
        <v>15</v>
      </c>
      <c r="E78" s="4" t="s">
        <v>132</v>
      </c>
      <c r="F78" s="4" t="s">
        <v>209</v>
      </c>
      <c r="G78" s="4" t="str">
        <f>"39255032"</f>
        <v>39255032</v>
      </c>
      <c r="H78" s="4" t="str">
        <f t="shared" si="11"/>
        <v>SILLA DE VISITA</v>
      </c>
      <c r="I78" s="4" t="str">
        <f t="shared" si="9"/>
        <v>N/A</v>
      </c>
      <c r="J78" s="4" t="s">
        <v>49</v>
      </c>
      <c r="K78" s="4"/>
      <c r="L78" s="4" t="s">
        <v>210</v>
      </c>
      <c r="M78" s="4" t="s">
        <v>49</v>
      </c>
      <c r="N78" s="4" t="s">
        <v>174</v>
      </c>
      <c r="O78" s="4" t="s">
        <v>203</v>
      </c>
      <c r="P78" s="4" t="s">
        <v>204</v>
      </c>
      <c r="Q78" s="4" t="s">
        <v>54</v>
      </c>
      <c r="R78" s="4" t="s">
        <v>55</v>
      </c>
      <c r="S78" s="4" t="s">
        <v>56</v>
      </c>
      <c r="T78" s="4">
        <v>6</v>
      </c>
      <c r="U78" s="4" t="s">
        <v>57</v>
      </c>
      <c r="V78" s="4">
        <v>97459</v>
      </c>
      <c r="W78" s="4" t="s">
        <v>58</v>
      </c>
      <c r="X78" s="4">
        <v>102936168</v>
      </c>
      <c r="Y78" s="4" t="s">
        <v>59</v>
      </c>
      <c r="Z78" s="4" t="s">
        <v>55</v>
      </c>
      <c r="AA78" s="4" t="s">
        <v>60</v>
      </c>
      <c r="AB78" s="4" t="s">
        <v>61</v>
      </c>
      <c r="AC78" s="4">
        <v>443</v>
      </c>
      <c r="AD78" s="4" t="s">
        <v>62</v>
      </c>
      <c r="AE78" s="4" t="s">
        <v>55</v>
      </c>
      <c r="AF78" s="4" t="s">
        <v>55</v>
      </c>
      <c r="AG78" s="4" t="s">
        <v>205</v>
      </c>
      <c r="AH78" s="4">
        <v>840103</v>
      </c>
      <c r="AI78" s="4" t="s">
        <v>139</v>
      </c>
      <c r="AJ78" s="4" t="s">
        <v>55</v>
      </c>
      <c r="AK78" s="5">
        <v>45610</v>
      </c>
      <c r="AL78" s="6">
        <v>45610</v>
      </c>
      <c r="AM78" s="6">
        <v>46081</v>
      </c>
      <c r="AN78" s="4">
        <v>10</v>
      </c>
      <c r="AO78" s="6">
        <v>49259</v>
      </c>
      <c r="AP78" s="4" t="s">
        <v>210</v>
      </c>
      <c r="AQ78" s="4" t="s">
        <v>211</v>
      </c>
      <c r="AR78" s="4" t="s">
        <v>215</v>
      </c>
      <c r="AS78" s="4" t="s">
        <v>216</v>
      </c>
      <c r="AT78" s="4" t="s">
        <v>49</v>
      </c>
    </row>
    <row r="79" spans="1:46" ht="75" x14ac:dyDescent="0.25">
      <c r="A79" s="4">
        <v>39255033</v>
      </c>
      <c r="B79" s="4" t="str">
        <f>""</f>
        <v/>
      </c>
      <c r="C79" s="4" t="str">
        <f t="shared" si="10"/>
        <v>300100280007</v>
      </c>
      <c r="D79" s="4">
        <v>15</v>
      </c>
      <c r="E79" s="4" t="s">
        <v>132</v>
      </c>
      <c r="F79" s="4" t="s">
        <v>209</v>
      </c>
      <c r="G79" s="4" t="str">
        <f>"39255033"</f>
        <v>39255033</v>
      </c>
      <c r="H79" s="4" t="str">
        <f t="shared" si="11"/>
        <v>SILLA DE VISITA</v>
      </c>
      <c r="I79" s="4" t="str">
        <f t="shared" si="9"/>
        <v>N/A</v>
      </c>
      <c r="J79" s="4" t="s">
        <v>49</v>
      </c>
      <c r="K79" s="4"/>
      <c r="L79" s="4" t="s">
        <v>210</v>
      </c>
      <c r="M79" s="4" t="s">
        <v>49</v>
      </c>
      <c r="N79" s="4" t="s">
        <v>174</v>
      </c>
      <c r="O79" s="4" t="s">
        <v>203</v>
      </c>
      <c r="P79" s="4" t="s">
        <v>204</v>
      </c>
      <c r="Q79" s="4" t="s">
        <v>54</v>
      </c>
      <c r="R79" s="4" t="s">
        <v>55</v>
      </c>
      <c r="S79" s="4" t="s">
        <v>56</v>
      </c>
      <c r="T79" s="4">
        <v>6</v>
      </c>
      <c r="U79" s="4" t="s">
        <v>57</v>
      </c>
      <c r="V79" s="4">
        <v>97459</v>
      </c>
      <c r="W79" s="4" t="s">
        <v>58</v>
      </c>
      <c r="X79" s="4">
        <v>102936168</v>
      </c>
      <c r="Y79" s="4" t="s">
        <v>59</v>
      </c>
      <c r="Z79" s="4" t="s">
        <v>55</v>
      </c>
      <c r="AA79" s="4" t="s">
        <v>60</v>
      </c>
      <c r="AB79" s="4" t="s">
        <v>61</v>
      </c>
      <c r="AC79" s="4">
        <v>443</v>
      </c>
      <c r="AD79" s="4" t="s">
        <v>62</v>
      </c>
      <c r="AE79" s="4" t="s">
        <v>55</v>
      </c>
      <c r="AF79" s="4" t="s">
        <v>55</v>
      </c>
      <c r="AG79" s="4" t="s">
        <v>205</v>
      </c>
      <c r="AH79" s="4">
        <v>840103</v>
      </c>
      <c r="AI79" s="4" t="s">
        <v>139</v>
      </c>
      <c r="AJ79" s="4" t="s">
        <v>55</v>
      </c>
      <c r="AK79" s="5">
        <v>45610</v>
      </c>
      <c r="AL79" s="6">
        <v>45611</v>
      </c>
      <c r="AM79" s="6">
        <v>46081</v>
      </c>
      <c r="AN79" s="4">
        <v>10</v>
      </c>
      <c r="AO79" s="6">
        <v>49260</v>
      </c>
      <c r="AP79" s="4" t="s">
        <v>210</v>
      </c>
      <c r="AQ79" s="4" t="s">
        <v>211</v>
      </c>
      <c r="AR79" s="4" t="s">
        <v>212</v>
      </c>
      <c r="AS79" s="4" t="s">
        <v>213</v>
      </c>
      <c r="AT79" s="4" t="s">
        <v>49</v>
      </c>
    </row>
    <row r="80" spans="1:46" ht="75" x14ac:dyDescent="0.25">
      <c r="A80" s="4">
        <v>39255034</v>
      </c>
      <c r="B80" s="4" t="str">
        <f>""</f>
        <v/>
      </c>
      <c r="C80" s="4" t="str">
        <f t="shared" si="10"/>
        <v>300100280007</v>
      </c>
      <c r="D80" s="4">
        <v>15</v>
      </c>
      <c r="E80" s="4" t="s">
        <v>132</v>
      </c>
      <c r="F80" s="4" t="s">
        <v>209</v>
      </c>
      <c r="G80" s="4" t="str">
        <f>"39255034"</f>
        <v>39255034</v>
      </c>
      <c r="H80" s="4" t="str">
        <f t="shared" si="11"/>
        <v>SILLA DE VISITA</v>
      </c>
      <c r="I80" s="4" t="str">
        <f t="shared" si="9"/>
        <v>N/A</v>
      </c>
      <c r="J80" s="4" t="s">
        <v>49</v>
      </c>
      <c r="K80" s="4"/>
      <c r="L80" s="4" t="s">
        <v>210</v>
      </c>
      <c r="M80" s="4" t="s">
        <v>49</v>
      </c>
      <c r="N80" s="4" t="s">
        <v>174</v>
      </c>
      <c r="O80" s="4" t="s">
        <v>203</v>
      </c>
      <c r="P80" s="4" t="s">
        <v>204</v>
      </c>
      <c r="Q80" s="4" t="s">
        <v>54</v>
      </c>
      <c r="R80" s="4" t="s">
        <v>55</v>
      </c>
      <c r="S80" s="4" t="s">
        <v>56</v>
      </c>
      <c r="T80" s="4">
        <v>6</v>
      </c>
      <c r="U80" s="4" t="s">
        <v>57</v>
      </c>
      <c r="V80" s="4">
        <v>97459</v>
      </c>
      <c r="W80" s="4" t="s">
        <v>58</v>
      </c>
      <c r="X80" s="4">
        <v>102936168</v>
      </c>
      <c r="Y80" s="4" t="s">
        <v>59</v>
      </c>
      <c r="Z80" s="4" t="s">
        <v>55</v>
      </c>
      <c r="AA80" s="4" t="s">
        <v>60</v>
      </c>
      <c r="AB80" s="4" t="s">
        <v>61</v>
      </c>
      <c r="AC80" s="4">
        <v>443</v>
      </c>
      <c r="AD80" s="4" t="s">
        <v>62</v>
      </c>
      <c r="AE80" s="4" t="s">
        <v>55</v>
      </c>
      <c r="AF80" s="4" t="s">
        <v>55</v>
      </c>
      <c r="AG80" s="4" t="s">
        <v>205</v>
      </c>
      <c r="AH80" s="4">
        <v>840103</v>
      </c>
      <c r="AI80" s="4" t="s">
        <v>139</v>
      </c>
      <c r="AJ80" s="4" t="s">
        <v>55</v>
      </c>
      <c r="AK80" s="5">
        <v>45610</v>
      </c>
      <c r="AL80" s="6">
        <v>45611</v>
      </c>
      <c r="AM80" s="6">
        <v>46081</v>
      </c>
      <c r="AN80" s="4">
        <v>10</v>
      </c>
      <c r="AO80" s="6">
        <v>49260</v>
      </c>
      <c r="AP80" s="4" t="s">
        <v>210</v>
      </c>
      <c r="AQ80" s="4" t="s">
        <v>211</v>
      </c>
      <c r="AR80" s="4" t="s">
        <v>212</v>
      </c>
      <c r="AS80" s="4" t="s">
        <v>213</v>
      </c>
      <c r="AT80" s="4" t="s">
        <v>49</v>
      </c>
    </row>
    <row r="81" spans="1:46" ht="75" x14ac:dyDescent="0.25">
      <c r="A81" s="4">
        <v>39255035</v>
      </c>
      <c r="B81" s="4" t="str">
        <f>""</f>
        <v/>
      </c>
      <c r="C81" s="4" t="str">
        <f t="shared" si="10"/>
        <v>300100280007</v>
      </c>
      <c r="D81" s="4">
        <v>15</v>
      </c>
      <c r="E81" s="4" t="s">
        <v>132</v>
      </c>
      <c r="F81" s="4" t="s">
        <v>209</v>
      </c>
      <c r="G81" s="4" t="str">
        <f>"39255035"</f>
        <v>39255035</v>
      </c>
      <c r="H81" s="4" t="str">
        <f t="shared" si="11"/>
        <v>SILLA DE VISITA</v>
      </c>
      <c r="I81" s="4" t="str">
        <f t="shared" si="9"/>
        <v>N/A</v>
      </c>
      <c r="J81" s="4" t="s">
        <v>49</v>
      </c>
      <c r="K81" s="4"/>
      <c r="L81" s="4" t="s">
        <v>210</v>
      </c>
      <c r="M81" s="4" t="s">
        <v>49</v>
      </c>
      <c r="N81" s="4" t="s">
        <v>174</v>
      </c>
      <c r="O81" s="4" t="s">
        <v>203</v>
      </c>
      <c r="P81" s="4" t="s">
        <v>204</v>
      </c>
      <c r="Q81" s="4" t="s">
        <v>54</v>
      </c>
      <c r="R81" s="4" t="s">
        <v>55</v>
      </c>
      <c r="S81" s="4" t="s">
        <v>56</v>
      </c>
      <c r="T81" s="4">
        <v>6</v>
      </c>
      <c r="U81" s="4" t="s">
        <v>57</v>
      </c>
      <c r="V81" s="4">
        <v>97459</v>
      </c>
      <c r="W81" s="4" t="s">
        <v>58</v>
      </c>
      <c r="X81" s="4">
        <v>102936168</v>
      </c>
      <c r="Y81" s="4" t="s">
        <v>59</v>
      </c>
      <c r="Z81" s="4" t="s">
        <v>55</v>
      </c>
      <c r="AA81" s="4" t="s">
        <v>60</v>
      </c>
      <c r="AB81" s="4" t="s">
        <v>61</v>
      </c>
      <c r="AC81" s="4">
        <v>443</v>
      </c>
      <c r="AD81" s="4" t="s">
        <v>62</v>
      </c>
      <c r="AE81" s="4" t="s">
        <v>55</v>
      </c>
      <c r="AF81" s="4" t="s">
        <v>55</v>
      </c>
      <c r="AG81" s="4" t="s">
        <v>205</v>
      </c>
      <c r="AH81" s="4">
        <v>840103</v>
      </c>
      <c r="AI81" s="4" t="s">
        <v>139</v>
      </c>
      <c r="AJ81" s="4" t="s">
        <v>55</v>
      </c>
      <c r="AK81" s="5">
        <v>45610</v>
      </c>
      <c r="AL81" s="6">
        <v>45611</v>
      </c>
      <c r="AM81" s="6">
        <v>46081</v>
      </c>
      <c r="AN81" s="4">
        <v>10</v>
      </c>
      <c r="AO81" s="6">
        <v>49260</v>
      </c>
      <c r="AP81" s="4" t="s">
        <v>210</v>
      </c>
      <c r="AQ81" s="4" t="s">
        <v>211</v>
      </c>
      <c r="AR81" s="4" t="s">
        <v>212</v>
      </c>
      <c r="AS81" s="4" t="s">
        <v>213</v>
      </c>
      <c r="AT81" s="4" t="s">
        <v>49</v>
      </c>
    </row>
    <row r="82" spans="1:46" ht="75" x14ac:dyDescent="0.25">
      <c r="A82" s="4">
        <v>39255036</v>
      </c>
      <c r="B82" s="4" t="str">
        <f>""</f>
        <v/>
      </c>
      <c r="C82" s="4" t="str">
        <f t="shared" si="10"/>
        <v>300100280007</v>
      </c>
      <c r="D82" s="4">
        <v>15</v>
      </c>
      <c r="E82" s="4" t="s">
        <v>132</v>
      </c>
      <c r="F82" s="4" t="s">
        <v>209</v>
      </c>
      <c r="G82" s="4" t="str">
        <f>"39255036"</f>
        <v>39255036</v>
      </c>
      <c r="H82" s="4" t="str">
        <f t="shared" si="11"/>
        <v>SILLA DE VISITA</v>
      </c>
      <c r="I82" s="4" t="str">
        <f t="shared" si="9"/>
        <v>N/A</v>
      </c>
      <c r="J82" s="4" t="s">
        <v>49</v>
      </c>
      <c r="K82" s="4"/>
      <c r="L82" s="4" t="s">
        <v>210</v>
      </c>
      <c r="M82" s="4" t="s">
        <v>49</v>
      </c>
      <c r="N82" s="4" t="s">
        <v>174</v>
      </c>
      <c r="O82" s="4" t="s">
        <v>203</v>
      </c>
      <c r="P82" s="4" t="s">
        <v>204</v>
      </c>
      <c r="Q82" s="4" t="s">
        <v>54</v>
      </c>
      <c r="R82" s="4" t="s">
        <v>55</v>
      </c>
      <c r="S82" s="4" t="s">
        <v>56</v>
      </c>
      <c r="T82" s="4">
        <v>6</v>
      </c>
      <c r="U82" s="4" t="s">
        <v>57</v>
      </c>
      <c r="V82" s="4">
        <v>97459</v>
      </c>
      <c r="W82" s="4" t="s">
        <v>58</v>
      </c>
      <c r="X82" s="4">
        <v>102936168</v>
      </c>
      <c r="Y82" s="4" t="s">
        <v>59</v>
      </c>
      <c r="Z82" s="4" t="s">
        <v>55</v>
      </c>
      <c r="AA82" s="4" t="s">
        <v>60</v>
      </c>
      <c r="AB82" s="4" t="s">
        <v>61</v>
      </c>
      <c r="AC82" s="4">
        <v>443</v>
      </c>
      <c r="AD82" s="4" t="s">
        <v>62</v>
      </c>
      <c r="AE82" s="4" t="s">
        <v>55</v>
      </c>
      <c r="AF82" s="4" t="s">
        <v>55</v>
      </c>
      <c r="AG82" s="4" t="s">
        <v>205</v>
      </c>
      <c r="AH82" s="4">
        <v>840103</v>
      </c>
      <c r="AI82" s="4" t="s">
        <v>139</v>
      </c>
      <c r="AJ82" s="4" t="s">
        <v>55</v>
      </c>
      <c r="AK82" s="5">
        <v>45610</v>
      </c>
      <c r="AL82" s="6">
        <v>45611</v>
      </c>
      <c r="AM82" s="6">
        <v>46081</v>
      </c>
      <c r="AN82" s="4">
        <v>10</v>
      </c>
      <c r="AO82" s="6">
        <v>49260</v>
      </c>
      <c r="AP82" s="4" t="s">
        <v>210</v>
      </c>
      <c r="AQ82" s="4" t="s">
        <v>211</v>
      </c>
      <c r="AR82" s="4" t="s">
        <v>212</v>
      </c>
      <c r="AS82" s="4" t="s">
        <v>213</v>
      </c>
      <c r="AT82" s="4" t="s">
        <v>49</v>
      </c>
    </row>
    <row r="83" spans="1:46" ht="75" x14ac:dyDescent="0.25">
      <c r="A83" s="4">
        <v>39255037</v>
      </c>
      <c r="B83" s="4" t="str">
        <f>""</f>
        <v/>
      </c>
      <c r="C83" s="4" t="str">
        <f t="shared" si="10"/>
        <v>300100280007</v>
      </c>
      <c r="D83" s="4">
        <v>15</v>
      </c>
      <c r="E83" s="4" t="s">
        <v>132</v>
      </c>
      <c r="F83" s="4" t="s">
        <v>209</v>
      </c>
      <c r="G83" s="4" t="str">
        <f>"39255037"</f>
        <v>39255037</v>
      </c>
      <c r="H83" s="4" t="str">
        <f t="shared" si="11"/>
        <v>SILLA DE VISITA</v>
      </c>
      <c r="I83" s="4" t="str">
        <f t="shared" si="9"/>
        <v>N/A</v>
      </c>
      <c r="J83" s="4" t="s">
        <v>49</v>
      </c>
      <c r="K83" s="4"/>
      <c r="L83" s="4" t="s">
        <v>210</v>
      </c>
      <c r="M83" s="4" t="s">
        <v>49</v>
      </c>
      <c r="N83" s="4" t="s">
        <v>174</v>
      </c>
      <c r="O83" s="4" t="s">
        <v>203</v>
      </c>
      <c r="P83" s="4" t="s">
        <v>204</v>
      </c>
      <c r="Q83" s="4" t="s">
        <v>54</v>
      </c>
      <c r="R83" s="4" t="s">
        <v>55</v>
      </c>
      <c r="S83" s="4" t="s">
        <v>56</v>
      </c>
      <c r="T83" s="4">
        <v>6</v>
      </c>
      <c r="U83" s="4" t="s">
        <v>57</v>
      </c>
      <c r="V83" s="4">
        <v>97459</v>
      </c>
      <c r="W83" s="4" t="s">
        <v>58</v>
      </c>
      <c r="X83" s="4">
        <v>102936168</v>
      </c>
      <c r="Y83" s="4" t="s">
        <v>59</v>
      </c>
      <c r="Z83" s="4" t="s">
        <v>55</v>
      </c>
      <c r="AA83" s="4" t="s">
        <v>60</v>
      </c>
      <c r="AB83" s="4" t="s">
        <v>61</v>
      </c>
      <c r="AC83" s="4">
        <v>443</v>
      </c>
      <c r="AD83" s="4" t="s">
        <v>62</v>
      </c>
      <c r="AE83" s="4" t="s">
        <v>55</v>
      </c>
      <c r="AF83" s="4" t="s">
        <v>55</v>
      </c>
      <c r="AG83" s="4" t="s">
        <v>205</v>
      </c>
      <c r="AH83" s="4">
        <v>840103</v>
      </c>
      <c r="AI83" s="4" t="s">
        <v>139</v>
      </c>
      <c r="AJ83" s="4" t="s">
        <v>55</v>
      </c>
      <c r="AK83" s="5">
        <v>45610</v>
      </c>
      <c r="AL83" s="6">
        <v>45611</v>
      </c>
      <c r="AM83" s="6">
        <v>46081</v>
      </c>
      <c r="AN83" s="4">
        <v>10</v>
      </c>
      <c r="AO83" s="6">
        <v>49260</v>
      </c>
      <c r="AP83" s="4" t="s">
        <v>210</v>
      </c>
      <c r="AQ83" s="4" t="s">
        <v>211</v>
      </c>
      <c r="AR83" s="4" t="s">
        <v>212</v>
      </c>
      <c r="AS83" s="4" t="s">
        <v>213</v>
      </c>
      <c r="AT83" s="4" t="s">
        <v>49</v>
      </c>
    </row>
    <row r="84" spans="1:46" ht="75" x14ac:dyDescent="0.25">
      <c r="A84" s="4">
        <v>39255038</v>
      </c>
      <c r="B84" s="4" t="str">
        <f>""</f>
        <v/>
      </c>
      <c r="C84" s="4" t="str">
        <f t="shared" si="10"/>
        <v>300100280007</v>
      </c>
      <c r="D84" s="4">
        <v>15</v>
      </c>
      <c r="E84" s="4" t="s">
        <v>132</v>
      </c>
      <c r="F84" s="4" t="s">
        <v>209</v>
      </c>
      <c r="G84" s="4" t="str">
        <f>"39255038"</f>
        <v>39255038</v>
      </c>
      <c r="H84" s="4" t="str">
        <f t="shared" si="11"/>
        <v>SILLA DE VISITA</v>
      </c>
      <c r="I84" s="4" t="str">
        <f t="shared" si="9"/>
        <v>N/A</v>
      </c>
      <c r="J84" s="4" t="s">
        <v>49</v>
      </c>
      <c r="K84" s="4"/>
      <c r="L84" s="4" t="s">
        <v>210</v>
      </c>
      <c r="M84" s="4" t="s">
        <v>49</v>
      </c>
      <c r="N84" s="4" t="s">
        <v>174</v>
      </c>
      <c r="O84" s="4" t="s">
        <v>203</v>
      </c>
      <c r="P84" s="4" t="s">
        <v>204</v>
      </c>
      <c r="Q84" s="4" t="s">
        <v>54</v>
      </c>
      <c r="R84" s="4" t="s">
        <v>55</v>
      </c>
      <c r="S84" s="4" t="s">
        <v>56</v>
      </c>
      <c r="T84" s="4">
        <v>6</v>
      </c>
      <c r="U84" s="4" t="s">
        <v>57</v>
      </c>
      <c r="V84" s="4">
        <v>97459</v>
      </c>
      <c r="W84" s="4" t="s">
        <v>58</v>
      </c>
      <c r="X84" s="4">
        <v>1709796500</v>
      </c>
      <c r="Y84" s="4" t="s">
        <v>157</v>
      </c>
      <c r="Z84" s="4" t="s">
        <v>55</v>
      </c>
      <c r="AA84" s="4" t="s">
        <v>60</v>
      </c>
      <c r="AB84" s="4" t="s">
        <v>61</v>
      </c>
      <c r="AC84" s="4">
        <v>443</v>
      </c>
      <c r="AD84" s="4" t="s">
        <v>62</v>
      </c>
      <c r="AE84" s="4" t="s">
        <v>55</v>
      </c>
      <c r="AF84" s="4" t="s">
        <v>55</v>
      </c>
      <c r="AG84" s="4" t="s">
        <v>205</v>
      </c>
      <c r="AH84" s="4">
        <v>840103</v>
      </c>
      <c r="AI84" s="4" t="s">
        <v>139</v>
      </c>
      <c r="AJ84" s="4" t="s">
        <v>55</v>
      </c>
      <c r="AK84" s="5">
        <v>45610</v>
      </c>
      <c r="AL84" s="6">
        <v>45611</v>
      </c>
      <c r="AM84" s="6">
        <v>46081</v>
      </c>
      <c r="AN84" s="4">
        <v>10</v>
      </c>
      <c r="AO84" s="6">
        <v>49260</v>
      </c>
      <c r="AP84" s="4" t="s">
        <v>210</v>
      </c>
      <c r="AQ84" s="4" t="s">
        <v>211</v>
      </c>
      <c r="AR84" s="4" t="s">
        <v>212</v>
      </c>
      <c r="AS84" s="4" t="s">
        <v>213</v>
      </c>
      <c r="AT84" s="4" t="s">
        <v>49</v>
      </c>
    </row>
    <row r="85" spans="1:46" ht="75" x14ac:dyDescent="0.25">
      <c r="A85" s="4">
        <v>39255039</v>
      </c>
      <c r="B85" s="4" t="str">
        <f>""</f>
        <v/>
      </c>
      <c r="C85" s="4" t="str">
        <f t="shared" si="10"/>
        <v>300100280007</v>
      </c>
      <c r="D85" s="4">
        <v>15</v>
      </c>
      <c r="E85" s="4" t="s">
        <v>132</v>
      </c>
      <c r="F85" s="4" t="s">
        <v>209</v>
      </c>
      <c r="G85" s="4" t="str">
        <f>"39255039"</f>
        <v>39255039</v>
      </c>
      <c r="H85" s="4" t="str">
        <f t="shared" si="11"/>
        <v>SILLA DE VISITA</v>
      </c>
      <c r="I85" s="4" t="str">
        <f t="shared" si="9"/>
        <v>N/A</v>
      </c>
      <c r="J85" s="4" t="s">
        <v>49</v>
      </c>
      <c r="K85" s="4"/>
      <c r="L85" s="4" t="s">
        <v>210</v>
      </c>
      <c r="M85" s="4" t="s">
        <v>49</v>
      </c>
      <c r="N85" s="4" t="s">
        <v>174</v>
      </c>
      <c r="O85" s="4" t="s">
        <v>203</v>
      </c>
      <c r="P85" s="4" t="s">
        <v>204</v>
      </c>
      <c r="Q85" s="4" t="s">
        <v>54</v>
      </c>
      <c r="R85" s="4" t="s">
        <v>55</v>
      </c>
      <c r="S85" s="4" t="s">
        <v>56</v>
      </c>
      <c r="T85" s="4">
        <v>6</v>
      </c>
      <c r="U85" s="4" t="s">
        <v>57</v>
      </c>
      <c r="V85" s="4">
        <v>97459</v>
      </c>
      <c r="W85" s="4" t="s">
        <v>58</v>
      </c>
      <c r="X85" s="4">
        <v>1709796500</v>
      </c>
      <c r="Y85" s="4" t="s">
        <v>157</v>
      </c>
      <c r="Z85" s="4" t="s">
        <v>55</v>
      </c>
      <c r="AA85" s="4" t="s">
        <v>60</v>
      </c>
      <c r="AB85" s="4" t="s">
        <v>61</v>
      </c>
      <c r="AC85" s="4">
        <v>443</v>
      </c>
      <c r="AD85" s="4" t="s">
        <v>62</v>
      </c>
      <c r="AE85" s="4" t="s">
        <v>55</v>
      </c>
      <c r="AF85" s="4" t="s">
        <v>55</v>
      </c>
      <c r="AG85" s="4" t="s">
        <v>205</v>
      </c>
      <c r="AH85" s="4">
        <v>840103</v>
      </c>
      <c r="AI85" s="4" t="s">
        <v>139</v>
      </c>
      <c r="AJ85" s="4" t="s">
        <v>55</v>
      </c>
      <c r="AK85" s="5">
        <v>45610</v>
      </c>
      <c r="AL85" s="6">
        <v>45611</v>
      </c>
      <c r="AM85" s="6">
        <v>46081</v>
      </c>
      <c r="AN85" s="4">
        <v>10</v>
      </c>
      <c r="AO85" s="6">
        <v>49260</v>
      </c>
      <c r="AP85" s="4" t="s">
        <v>210</v>
      </c>
      <c r="AQ85" s="4" t="s">
        <v>211</v>
      </c>
      <c r="AR85" s="4" t="s">
        <v>212</v>
      </c>
      <c r="AS85" s="4" t="s">
        <v>213</v>
      </c>
      <c r="AT85" s="4" t="s">
        <v>49</v>
      </c>
    </row>
    <row r="86" spans="1:46" ht="75" x14ac:dyDescent="0.25">
      <c r="A86" s="4">
        <v>39255040</v>
      </c>
      <c r="B86" s="4" t="str">
        <f>""</f>
        <v/>
      </c>
      <c r="C86" s="4" t="str">
        <f t="shared" si="10"/>
        <v>300100280007</v>
      </c>
      <c r="D86" s="4">
        <v>15</v>
      </c>
      <c r="E86" s="4" t="s">
        <v>132</v>
      </c>
      <c r="F86" s="4" t="s">
        <v>209</v>
      </c>
      <c r="G86" s="4" t="str">
        <f>"39255040"</f>
        <v>39255040</v>
      </c>
      <c r="H86" s="4" t="str">
        <f t="shared" si="11"/>
        <v>SILLA DE VISITA</v>
      </c>
      <c r="I86" s="4" t="str">
        <f t="shared" si="9"/>
        <v>N/A</v>
      </c>
      <c r="J86" s="4" t="s">
        <v>49</v>
      </c>
      <c r="K86" s="4"/>
      <c r="L86" s="4" t="s">
        <v>210</v>
      </c>
      <c r="M86" s="4" t="s">
        <v>49</v>
      </c>
      <c r="N86" s="4" t="s">
        <v>174</v>
      </c>
      <c r="O86" s="4" t="s">
        <v>203</v>
      </c>
      <c r="P86" s="4" t="s">
        <v>204</v>
      </c>
      <c r="Q86" s="4" t="s">
        <v>54</v>
      </c>
      <c r="R86" s="4" t="s">
        <v>55</v>
      </c>
      <c r="S86" s="4" t="s">
        <v>56</v>
      </c>
      <c r="T86" s="4">
        <v>6</v>
      </c>
      <c r="U86" s="4" t="s">
        <v>57</v>
      </c>
      <c r="V86" s="4">
        <v>97459</v>
      </c>
      <c r="W86" s="4" t="s">
        <v>58</v>
      </c>
      <c r="X86" s="4">
        <v>1709796500</v>
      </c>
      <c r="Y86" s="4" t="s">
        <v>157</v>
      </c>
      <c r="Z86" s="4" t="s">
        <v>55</v>
      </c>
      <c r="AA86" s="4" t="s">
        <v>60</v>
      </c>
      <c r="AB86" s="4" t="s">
        <v>61</v>
      </c>
      <c r="AC86" s="4">
        <v>443</v>
      </c>
      <c r="AD86" s="4" t="s">
        <v>62</v>
      </c>
      <c r="AE86" s="4" t="s">
        <v>55</v>
      </c>
      <c r="AF86" s="4" t="s">
        <v>55</v>
      </c>
      <c r="AG86" s="4" t="s">
        <v>205</v>
      </c>
      <c r="AH86" s="4">
        <v>840103</v>
      </c>
      <c r="AI86" s="4" t="s">
        <v>139</v>
      </c>
      <c r="AJ86" s="4" t="s">
        <v>55</v>
      </c>
      <c r="AK86" s="5">
        <v>45610</v>
      </c>
      <c r="AL86" s="6">
        <v>45611</v>
      </c>
      <c r="AM86" s="6">
        <v>46081</v>
      </c>
      <c r="AN86" s="4">
        <v>10</v>
      </c>
      <c r="AO86" s="6">
        <v>49260</v>
      </c>
      <c r="AP86" s="4" t="s">
        <v>210</v>
      </c>
      <c r="AQ86" s="4" t="s">
        <v>211</v>
      </c>
      <c r="AR86" s="4" t="s">
        <v>212</v>
      </c>
      <c r="AS86" s="4" t="s">
        <v>213</v>
      </c>
      <c r="AT86" s="4" t="s">
        <v>49</v>
      </c>
    </row>
    <row r="87" spans="1:46" ht="75" x14ac:dyDescent="0.25">
      <c r="A87" s="4">
        <v>39255041</v>
      </c>
      <c r="B87" s="4" t="str">
        <f>""</f>
        <v/>
      </c>
      <c r="C87" s="4" t="str">
        <f t="shared" si="10"/>
        <v>300100280007</v>
      </c>
      <c r="D87" s="4">
        <v>15</v>
      </c>
      <c r="E87" s="4" t="s">
        <v>132</v>
      </c>
      <c r="F87" s="4" t="s">
        <v>209</v>
      </c>
      <c r="G87" s="4" t="str">
        <f>"39255041"</f>
        <v>39255041</v>
      </c>
      <c r="H87" s="4" t="str">
        <f t="shared" si="11"/>
        <v>SILLA DE VISITA</v>
      </c>
      <c r="I87" s="4" t="str">
        <f t="shared" si="9"/>
        <v>N/A</v>
      </c>
      <c r="J87" s="4" t="s">
        <v>49</v>
      </c>
      <c r="K87" s="4"/>
      <c r="L87" s="4" t="s">
        <v>210</v>
      </c>
      <c r="M87" s="4" t="s">
        <v>49</v>
      </c>
      <c r="N87" s="4" t="s">
        <v>174</v>
      </c>
      <c r="O87" s="4" t="s">
        <v>203</v>
      </c>
      <c r="P87" s="4" t="s">
        <v>204</v>
      </c>
      <c r="Q87" s="4" t="s">
        <v>54</v>
      </c>
      <c r="R87" s="4" t="s">
        <v>55</v>
      </c>
      <c r="S87" s="4" t="s">
        <v>56</v>
      </c>
      <c r="T87" s="4">
        <v>6</v>
      </c>
      <c r="U87" s="4" t="s">
        <v>57</v>
      </c>
      <c r="V87" s="4">
        <v>97459</v>
      </c>
      <c r="W87" s="4" t="s">
        <v>58</v>
      </c>
      <c r="X87" s="4">
        <v>1709796500</v>
      </c>
      <c r="Y87" s="4" t="s">
        <v>157</v>
      </c>
      <c r="Z87" s="4" t="s">
        <v>55</v>
      </c>
      <c r="AA87" s="4" t="s">
        <v>60</v>
      </c>
      <c r="AB87" s="4" t="s">
        <v>61</v>
      </c>
      <c r="AC87" s="4">
        <v>443</v>
      </c>
      <c r="AD87" s="4" t="s">
        <v>62</v>
      </c>
      <c r="AE87" s="4" t="s">
        <v>55</v>
      </c>
      <c r="AF87" s="4" t="s">
        <v>55</v>
      </c>
      <c r="AG87" s="4" t="s">
        <v>205</v>
      </c>
      <c r="AH87" s="4">
        <v>840103</v>
      </c>
      <c r="AI87" s="4" t="s">
        <v>139</v>
      </c>
      <c r="AJ87" s="4" t="s">
        <v>55</v>
      </c>
      <c r="AK87" s="5">
        <v>45610</v>
      </c>
      <c r="AL87" s="6">
        <v>45611</v>
      </c>
      <c r="AM87" s="6">
        <v>46081</v>
      </c>
      <c r="AN87" s="4">
        <v>10</v>
      </c>
      <c r="AO87" s="6">
        <v>49260</v>
      </c>
      <c r="AP87" s="4" t="s">
        <v>210</v>
      </c>
      <c r="AQ87" s="4" t="s">
        <v>211</v>
      </c>
      <c r="AR87" s="4" t="s">
        <v>212</v>
      </c>
      <c r="AS87" s="4" t="s">
        <v>213</v>
      </c>
      <c r="AT87" s="4" t="s">
        <v>49</v>
      </c>
    </row>
    <row r="88" spans="1:46" ht="75" x14ac:dyDescent="0.25">
      <c r="A88" s="4">
        <v>39255042</v>
      </c>
      <c r="B88" s="4" t="str">
        <f>""</f>
        <v/>
      </c>
      <c r="C88" s="4" t="str">
        <f t="shared" si="10"/>
        <v>300100280007</v>
      </c>
      <c r="D88" s="4">
        <v>15</v>
      </c>
      <c r="E88" s="4" t="s">
        <v>132</v>
      </c>
      <c r="F88" s="4" t="s">
        <v>209</v>
      </c>
      <c r="G88" s="4" t="str">
        <f>"39255042"</f>
        <v>39255042</v>
      </c>
      <c r="H88" s="4" t="str">
        <f t="shared" si="11"/>
        <v>SILLA DE VISITA</v>
      </c>
      <c r="I88" s="4" t="str">
        <f t="shared" si="9"/>
        <v>N/A</v>
      </c>
      <c r="J88" s="4" t="s">
        <v>49</v>
      </c>
      <c r="K88" s="4"/>
      <c r="L88" s="4" t="s">
        <v>210</v>
      </c>
      <c r="M88" s="4" t="s">
        <v>49</v>
      </c>
      <c r="N88" s="4" t="s">
        <v>174</v>
      </c>
      <c r="O88" s="4" t="s">
        <v>203</v>
      </c>
      <c r="P88" s="4" t="s">
        <v>204</v>
      </c>
      <c r="Q88" s="4" t="s">
        <v>54</v>
      </c>
      <c r="R88" s="4" t="s">
        <v>55</v>
      </c>
      <c r="S88" s="4" t="s">
        <v>56</v>
      </c>
      <c r="T88" s="4">
        <v>6</v>
      </c>
      <c r="U88" s="4" t="s">
        <v>57</v>
      </c>
      <c r="V88" s="4">
        <v>97459</v>
      </c>
      <c r="W88" s="4" t="s">
        <v>58</v>
      </c>
      <c r="X88" s="4">
        <v>1709796500</v>
      </c>
      <c r="Y88" s="4" t="s">
        <v>157</v>
      </c>
      <c r="Z88" s="4" t="s">
        <v>55</v>
      </c>
      <c r="AA88" s="4" t="s">
        <v>60</v>
      </c>
      <c r="AB88" s="4" t="s">
        <v>61</v>
      </c>
      <c r="AC88" s="4">
        <v>443</v>
      </c>
      <c r="AD88" s="4" t="s">
        <v>62</v>
      </c>
      <c r="AE88" s="4" t="s">
        <v>55</v>
      </c>
      <c r="AF88" s="4" t="s">
        <v>55</v>
      </c>
      <c r="AG88" s="4" t="s">
        <v>205</v>
      </c>
      <c r="AH88" s="4">
        <v>840103</v>
      </c>
      <c r="AI88" s="4" t="s">
        <v>139</v>
      </c>
      <c r="AJ88" s="4" t="s">
        <v>55</v>
      </c>
      <c r="AK88" s="5">
        <v>45610</v>
      </c>
      <c r="AL88" s="6">
        <v>45611</v>
      </c>
      <c r="AM88" s="6">
        <v>46081</v>
      </c>
      <c r="AN88" s="4">
        <v>10</v>
      </c>
      <c r="AO88" s="6">
        <v>49260</v>
      </c>
      <c r="AP88" s="4" t="s">
        <v>210</v>
      </c>
      <c r="AQ88" s="4" t="s">
        <v>211</v>
      </c>
      <c r="AR88" s="4" t="s">
        <v>212</v>
      </c>
      <c r="AS88" s="4" t="s">
        <v>213</v>
      </c>
      <c r="AT88" s="4" t="s">
        <v>49</v>
      </c>
    </row>
    <row r="89" spans="1:46" ht="75" x14ac:dyDescent="0.25">
      <c r="A89" s="4">
        <v>39255043</v>
      </c>
      <c r="B89" s="4" t="str">
        <f>""</f>
        <v/>
      </c>
      <c r="C89" s="4" t="str">
        <f t="shared" si="10"/>
        <v>300100280007</v>
      </c>
      <c r="D89" s="4">
        <v>15</v>
      </c>
      <c r="E89" s="4" t="s">
        <v>132</v>
      </c>
      <c r="F89" s="4" t="s">
        <v>209</v>
      </c>
      <c r="G89" s="4" t="str">
        <f>"39255043"</f>
        <v>39255043</v>
      </c>
      <c r="H89" s="4" t="str">
        <f t="shared" si="11"/>
        <v>SILLA DE VISITA</v>
      </c>
      <c r="I89" s="4" t="str">
        <f t="shared" si="9"/>
        <v>N/A</v>
      </c>
      <c r="J89" s="4" t="s">
        <v>49</v>
      </c>
      <c r="K89" s="4"/>
      <c r="L89" s="4" t="s">
        <v>210</v>
      </c>
      <c r="M89" s="4" t="s">
        <v>49</v>
      </c>
      <c r="N89" s="4" t="s">
        <v>174</v>
      </c>
      <c r="O89" s="4" t="s">
        <v>203</v>
      </c>
      <c r="P89" s="4" t="s">
        <v>204</v>
      </c>
      <c r="Q89" s="4" t="s">
        <v>54</v>
      </c>
      <c r="R89" s="4" t="s">
        <v>55</v>
      </c>
      <c r="S89" s="4" t="s">
        <v>56</v>
      </c>
      <c r="T89" s="4">
        <v>6</v>
      </c>
      <c r="U89" s="4" t="s">
        <v>57</v>
      </c>
      <c r="V89" s="4">
        <v>97459</v>
      </c>
      <c r="W89" s="4" t="s">
        <v>58</v>
      </c>
      <c r="X89" s="4">
        <v>1709796500</v>
      </c>
      <c r="Y89" s="4" t="s">
        <v>157</v>
      </c>
      <c r="Z89" s="4" t="s">
        <v>55</v>
      </c>
      <c r="AA89" s="4" t="s">
        <v>60</v>
      </c>
      <c r="AB89" s="4" t="s">
        <v>61</v>
      </c>
      <c r="AC89" s="4">
        <v>443</v>
      </c>
      <c r="AD89" s="4" t="s">
        <v>62</v>
      </c>
      <c r="AE89" s="4" t="s">
        <v>55</v>
      </c>
      <c r="AF89" s="4" t="s">
        <v>55</v>
      </c>
      <c r="AG89" s="4" t="s">
        <v>205</v>
      </c>
      <c r="AH89" s="4">
        <v>840103</v>
      </c>
      <c r="AI89" s="4" t="s">
        <v>139</v>
      </c>
      <c r="AJ89" s="4" t="s">
        <v>55</v>
      </c>
      <c r="AK89" s="5">
        <v>45610</v>
      </c>
      <c r="AL89" s="6">
        <v>45611</v>
      </c>
      <c r="AM89" s="6">
        <v>46081</v>
      </c>
      <c r="AN89" s="4">
        <v>10</v>
      </c>
      <c r="AO89" s="6">
        <v>49260</v>
      </c>
      <c r="AP89" s="4" t="s">
        <v>210</v>
      </c>
      <c r="AQ89" s="4" t="s">
        <v>211</v>
      </c>
      <c r="AR89" s="4" t="s">
        <v>212</v>
      </c>
      <c r="AS89" s="4" t="s">
        <v>213</v>
      </c>
      <c r="AT89" s="4" t="s">
        <v>49</v>
      </c>
    </row>
    <row r="90" spans="1:46" ht="75" x14ac:dyDescent="0.25">
      <c r="A90" s="4">
        <v>39255044</v>
      </c>
      <c r="B90" s="4" t="str">
        <f>""</f>
        <v/>
      </c>
      <c r="C90" s="4" t="str">
        <f t="shared" si="10"/>
        <v>300100280007</v>
      </c>
      <c r="D90" s="4">
        <v>15</v>
      </c>
      <c r="E90" s="4" t="s">
        <v>132</v>
      </c>
      <c r="F90" s="4" t="s">
        <v>209</v>
      </c>
      <c r="G90" s="4" t="str">
        <f>"39255044"</f>
        <v>39255044</v>
      </c>
      <c r="H90" s="4" t="str">
        <f t="shared" si="11"/>
        <v>SILLA DE VISITA</v>
      </c>
      <c r="I90" s="4" t="str">
        <f t="shared" si="9"/>
        <v>N/A</v>
      </c>
      <c r="J90" s="4" t="s">
        <v>49</v>
      </c>
      <c r="K90" s="4"/>
      <c r="L90" s="4" t="s">
        <v>210</v>
      </c>
      <c r="M90" s="4" t="s">
        <v>49</v>
      </c>
      <c r="N90" s="4" t="s">
        <v>174</v>
      </c>
      <c r="O90" s="4" t="s">
        <v>203</v>
      </c>
      <c r="P90" s="4" t="s">
        <v>204</v>
      </c>
      <c r="Q90" s="4" t="s">
        <v>54</v>
      </c>
      <c r="R90" s="4" t="s">
        <v>55</v>
      </c>
      <c r="S90" s="4" t="s">
        <v>56</v>
      </c>
      <c r="T90" s="4">
        <v>6</v>
      </c>
      <c r="U90" s="4" t="s">
        <v>57</v>
      </c>
      <c r="V90" s="4">
        <v>97459</v>
      </c>
      <c r="W90" s="4" t="s">
        <v>58</v>
      </c>
      <c r="X90" s="4">
        <v>1711995694</v>
      </c>
      <c r="Y90" s="4" t="s">
        <v>169</v>
      </c>
      <c r="Z90" s="4" t="s">
        <v>55</v>
      </c>
      <c r="AA90" s="4" t="s">
        <v>60</v>
      </c>
      <c r="AB90" s="4" t="s">
        <v>61</v>
      </c>
      <c r="AC90" s="4">
        <v>443</v>
      </c>
      <c r="AD90" s="4" t="s">
        <v>62</v>
      </c>
      <c r="AE90" s="4" t="s">
        <v>55</v>
      </c>
      <c r="AF90" s="4" t="s">
        <v>55</v>
      </c>
      <c r="AG90" s="4" t="s">
        <v>205</v>
      </c>
      <c r="AH90" s="4">
        <v>840103</v>
      </c>
      <c r="AI90" s="4" t="s">
        <v>139</v>
      </c>
      <c r="AJ90" s="4" t="s">
        <v>55</v>
      </c>
      <c r="AK90" s="5">
        <v>45610</v>
      </c>
      <c r="AL90" s="6">
        <v>45611</v>
      </c>
      <c r="AM90" s="6">
        <v>46081</v>
      </c>
      <c r="AN90" s="4">
        <v>10</v>
      </c>
      <c r="AO90" s="6">
        <v>49260</v>
      </c>
      <c r="AP90" s="4" t="s">
        <v>210</v>
      </c>
      <c r="AQ90" s="4" t="s">
        <v>211</v>
      </c>
      <c r="AR90" s="4" t="s">
        <v>212</v>
      </c>
      <c r="AS90" s="4" t="s">
        <v>213</v>
      </c>
      <c r="AT90" s="4" t="s">
        <v>49</v>
      </c>
    </row>
    <row r="91" spans="1:46" ht="75" x14ac:dyDescent="0.25">
      <c r="A91" s="4">
        <v>39255045</v>
      </c>
      <c r="B91" s="4" t="str">
        <f>""</f>
        <v/>
      </c>
      <c r="C91" s="4" t="str">
        <f t="shared" ref="C91:C104" si="12">"300100280002"</f>
        <v>300100280002</v>
      </c>
      <c r="D91" s="4">
        <v>15</v>
      </c>
      <c r="E91" s="4" t="s">
        <v>132</v>
      </c>
      <c r="F91" s="4" t="s">
        <v>217</v>
      </c>
      <c r="G91" s="4" t="str">
        <f>"39255045"</f>
        <v>39255045</v>
      </c>
      <c r="H91" s="4" t="str">
        <f t="shared" ref="H91:H104" si="13">"SILLA TIYAKUY"</f>
        <v>SILLA TIYAKUY</v>
      </c>
      <c r="I91" s="4" t="str">
        <f t="shared" si="9"/>
        <v>N/A</v>
      </c>
      <c r="J91" s="4" t="s">
        <v>49</v>
      </c>
      <c r="K91" s="4"/>
      <c r="L91" s="4">
        <v>78</v>
      </c>
      <c r="M91" s="4" t="s">
        <v>49</v>
      </c>
      <c r="N91" s="4" t="s">
        <v>113</v>
      </c>
      <c r="O91" s="4" t="s">
        <v>203</v>
      </c>
      <c r="P91" s="4" t="s">
        <v>204</v>
      </c>
      <c r="Q91" s="4" t="s">
        <v>54</v>
      </c>
      <c r="R91" s="4" t="s">
        <v>55</v>
      </c>
      <c r="S91" s="4" t="s">
        <v>56</v>
      </c>
      <c r="T91" s="4">
        <v>6</v>
      </c>
      <c r="U91" s="4" t="s">
        <v>57</v>
      </c>
      <c r="V91" s="4">
        <v>97459</v>
      </c>
      <c r="W91" s="4" t="s">
        <v>58</v>
      </c>
      <c r="X91" s="4">
        <v>1717662512</v>
      </c>
      <c r="Y91" s="4" t="s">
        <v>71</v>
      </c>
      <c r="Z91" s="4" t="s">
        <v>55</v>
      </c>
      <c r="AA91" s="4" t="s">
        <v>60</v>
      </c>
      <c r="AB91" s="4" t="s">
        <v>61</v>
      </c>
      <c r="AC91" s="4">
        <v>443</v>
      </c>
      <c r="AD91" s="4" t="s">
        <v>62</v>
      </c>
      <c r="AE91" s="4" t="s">
        <v>55</v>
      </c>
      <c r="AF91" s="4" t="s">
        <v>55</v>
      </c>
      <c r="AG91" s="4" t="s">
        <v>205</v>
      </c>
      <c r="AH91" s="4">
        <v>840103</v>
      </c>
      <c r="AI91" s="4" t="s">
        <v>139</v>
      </c>
      <c r="AJ91" s="4" t="s">
        <v>55</v>
      </c>
      <c r="AK91" s="5">
        <v>45610</v>
      </c>
      <c r="AL91" s="6">
        <v>45611</v>
      </c>
      <c r="AM91" s="6">
        <v>46081</v>
      </c>
      <c r="AN91" s="4">
        <v>10</v>
      </c>
      <c r="AO91" s="6">
        <v>49260</v>
      </c>
      <c r="AP91" s="4">
        <v>78</v>
      </c>
      <c r="AQ91" s="4" t="s">
        <v>218</v>
      </c>
      <c r="AR91" s="4" t="s">
        <v>219</v>
      </c>
      <c r="AS91" s="4" t="s">
        <v>220</v>
      </c>
      <c r="AT91" s="4" t="s">
        <v>49</v>
      </c>
    </row>
    <row r="92" spans="1:46" ht="75" x14ac:dyDescent="0.25">
      <c r="A92" s="4">
        <v>39255046</v>
      </c>
      <c r="B92" s="4" t="str">
        <f>""</f>
        <v/>
      </c>
      <c r="C92" s="4" t="str">
        <f t="shared" si="12"/>
        <v>300100280002</v>
      </c>
      <c r="D92" s="4">
        <v>15</v>
      </c>
      <c r="E92" s="4" t="s">
        <v>132</v>
      </c>
      <c r="F92" s="4" t="s">
        <v>217</v>
      </c>
      <c r="G92" s="4" t="str">
        <f>"39255046"</f>
        <v>39255046</v>
      </c>
      <c r="H92" s="4" t="str">
        <f t="shared" si="13"/>
        <v>SILLA TIYAKUY</v>
      </c>
      <c r="I92" s="4" t="str">
        <f t="shared" si="9"/>
        <v>N/A</v>
      </c>
      <c r="J92" s="4" t="s">
        <v>49</v>
      </c>
      <c r="K92" s="4"/>
      <c r="L92" s="4">
        <v>78</v>
      </c>
      <c r="M92" s="4" t="s">
        <v>49</v>
      </c>
      <c r="N92" s="4" t="s">
        <v>113</v>
      </c>
      <c r="O92" s="4" t="s">
        <v>203</v>
      </c>
      <c r="P92" s="4" t="s">
        <v>204</v>
      </c>
      <c r="Q92" s="4" t="s">
        <v>54</v>
      </c>
      <c r="R92" s="4" t="s">
        <v>55</v>
      </c>
      <c r="S92" s="4" t="s">
        <v>56</v>
      </c>
      <c r="T92" s="4">
        <v>6</v>
      </c>
      <c r="U92" s="4" t="s">
        <v>57</v>
      </c>
      <c r="V92" s="4">
        <v>97459</v>
      </c>
      <c r="W92" s="4" t="s">
        <v>58</v>
      </c>
      <c r="X92" s="4">
        <v>1710914985</v>
      </c>
      <c r="Y92" s="4" t="s">
        <v>221</v>
      </c>
      <c r="Z92" s="4" t="s">
        <v>55</v>
      </c>
      <c r="AA92" s="4" t="s">
        <v>60</v>
      </c>
      <c r="AB92" s="4" t="s">
        <v>61</v>
      </c>
      <c r="AC92" s="4">
        <v>443</v>
      </c>
      <c r="AD92" s="4" t="s">
        <v>62</v>
      </c>
      <c r="AE92" s="4" t="s">
        <v>55</v>
      </c>
      <c r="AF92" s="4" t="s">
        <v>55</v>
      </c>
      <c r="AG92" s="4" t="s">
        <v>205</v>
      </c>
      <c r="AH92" s="4">
        <v>840103</v>
      </c>
      <c r="AI92" s="4" t="s">
        <v>139</v>
      </c>
      <c r="AJ92" s="4" t="s">
        <v>55</v>
      </c>
      <c r="AK92" s="5">
        <v>45610</v>
      </c>
      <c r="AL92" s="6">
        <v>45611</v>
      </c>
      <c r="AM92" s="6">
        <v>46081</v>
      </c>
      <c r="AN92" s="4">
        <v>10</v>
      </c>
      <c r="AO92" s="6">
        <v>49260</v>
      </c>
      <c r="AP92" s="4">
        <v>78</v>
      </c>
      <c r="AQ92" s="4" t="s">
        <v>218</v>
      </c>
      <c r="AR92" s="4" t="s">
        <v>219</v>
      </c>
      <c r="AS92" s="4" t="s">
        <v>220</v>
      </c>
      <c r="AT92" s="4" t="s">
        <v>49</v>
      </c>
    </row>
    <row r="93" spans="1:46" ht="75" x14ac:dyDescent="0.25">
      <c r="A93" s="4">
        <v>39255047</v>
      </c>
      <c r="B93" s="4" t="str">
        <f>""</f>
        <v/>
      </c>
      <c r="C93" s="4" t="str">
        <f t="shared" si="12"/>
        <v>300100280002</v>
      </c>
      <c r="D93" s="4">
        <v>15</v>
      </c>
      <c r="E93" s="4" t="s">
        <v>132</v>
      </c>
      <c r="F93" s="4" t="s">
        <v>217</v>
      </c>
      <c r="G93" s="4" t="str">
        <f>"39255047"</f>
        <v>39255047</v>
      </c>
      <c r="H93" s="4" t="str">
        <f t="shared" si="13"/>
        <v>SILLA TIYAKUY</v>
      </c>
      <c r="I93" s="4" t="str">
        <f t="shared" si="9"/>
        <v>N/A</v>
      </c>
      <c r="J93" s="4" t="s">
        <v>49</v>
      </c>
      <c r="K93" s="4"/>
      <c r="L93" s="4">
        <v>78</v>
      </c>
      <c r="M93" s="4" t="s">
        <v>49</v>
      </c>
      <c r="N93" s="4" t="s">
        <v>113</v>
      </c>
      <c r="O93" s="4" t="s">
        <v>203</v>
      </c>
      <c r="P93" s="4" t="s">
        <v>204</v>
      </c>
      <c r="Q93" s="4" t="s">
        <v>54</v>
      </c>
      <c r="R93" s="4" t="s">
        <v>55</v>
      </c>
      <c r="S93" s="4" t="s">
        <v>56</v>
      </c>
      <c r="T93" s="4">
        <v>6</v>
      </c>
      <c r="U93" s="4" t="s">
        <v>57</v>
      </c>
      <c r="V93" s="4">
        <v>97459</v>
      </c>
      <c r="W93" s="4" t="s">
        <v>58</v>
      </c>
      <c r="X93" s="4">
        <v>1717662512</v>
      </c>
      <c r="Y93" s="4" t="s">
        <v>71</v>
      </c>
      <c r="Z93" s="4" t="s">
        <v>55</v>
      </c>
      <c r="AA93" s="4" t="s">
        <v>60</v>
      </c>
      <c r="AB93" s="4" t="s">
        <v>61</v>
      </c>
      <c r="AC93" s="4">
        <v>443</v>
      </c>
      <c r="AD93" s="4" t="s">
        <v>62</v>
      </c>
      <c r="AE93" s="4" t="s">
        <v>55</v>
      </c>
      <c r="AF93" s="4" t="s">
        <v>55</v>
      </c>
      <c r="AG93" s="4" t="s">
        <v>205</v>
      </c>
      <c r="AH93" s="4">
        <v>840103</v>
      </c>
      <c r="AI93" s="4" t="s">
        <v>139</v>
      </c>
      <c r="AJ93" s="4" t="s">
        <v>55</v>
      </c>
      <c r="AK93" s="5">
        <v>45610</v>
      </c>
      <c r="AL93" s="6">
        <v>45611</v>
      </c>
      <c r="AM93" s="6">
        <v>46081</v>
      </c>
      <c r="AN93" s="4">
        <v>10</v>
      </c>
      <c r="AO93" s="6">
        <v>49260</v>
      </c>
      <c r="AP93" s="4">
        <v>78</v>
      </c>
      <c r="AQ93" s="4" t="s">
        <v>218</v>
      </c>
      <c r="AR93" s="4" t="s">
        <v>219</v>
      </c>
      <c r="AS93" s="4" t="s">
        <v>220</v>
      </c>
      <c r="AT93" s="4" t="s">
        <v>49</v>
      </c>
    </row>
    <row r="94" spans="1:46" ht="75" x14ac:dyDescent="0.25">
      <c r="A94" s="4">
        <v>39255048</v>
      </c>
      <c r="B94" s="4" t="str">
        <f>""</f>
        <v/>
      </c>
      <c r="C94" s="4" t="str">
        <f t="shared" si="12"/>
        <v>300100280002</v>
      </c>
      <c r="D94" s="4">
        <v>15</v>
      </c>
      <c r="E94" s="4" t="s">
        <v>132</v>
      </c>
      <c r="F94" s="4" t="s">
        <v>217</v>
      </c>
      <c r="G94" s="4" t="str">
        <f>"39255048"</f>
        <v>39255048</v>
      </c>
      <c r="H94" s="4" t="str">
        <f t="shared" si="13"/>
        <v>SILLA TIYAKUY</v>
      </c>
      <c r="I94" s="4" t="str">
        <f t="shared" si="9"/>
        <v>N/A</v>
      </c>
      <c r="J94" s="4" t="s">
        <v>49</v>
      </c>
      <c r="K94" s="4"/>
      <c r="L94" s="4">
        <v>78</v>
      </c>
      <c r="M94" s="4" t="s">
        <v>49</v>
      </c>
      <c r="N94" s="4" t="s">
        <v>113</v>
      </c>
      <c r="O94" s="4" t="s">
        <v>203</v>
      </c>
      <c r="P94" s="4" t="s">
        <v>204</v>
      </c>
      <c r="Q94" s="4" t="s">
        <v>54</v>
      </c>
      <c r="R94" s="4" t="s">
        <v>55</v>
      </c>
      <c r="S94" s="4" t="s">
        <v>56</v>
      </c>
      <c r="T94" s="4">
        <v>6</v>
      </c>
      <c r="U94" s="4" t="s">
        <v>57</v>
      </c>
      <c r="V94" s="4">
        <v>97459</v>
      </c>
      <c r="W94" s="4" t="s">
        <v>58</v>
      </c>
      <c r="X94" s="4">
        <v>1723600886</v>
      </c>
      <c r="Y94" s="4" t="s">
        <v>214</v>
      </c>
      <c r="Z94" s="4" t="s">
        <v>55</v>
      </c>
      <c r="AA94" s="4" t="s">
        <v>60</v>
      </c>
      <c r="AB94" s="4" t="s">
        <v>61</v>
      </c>
      <c r="AC94" s="4">
        <v>443</v>
      </c>
      <c r="AD94" s="4" t="s">
        <v>62</v>
      </c>
      <c r="AE94" s="4" t="s">
        <v>55</v>
      </c>
      <c r="AF94" s="4" t="s">
        <v>55</v>
      </c>
      <c r="AG94" s="4" t="s">
        <v>205</v>
      </c>
      <c r="AH94" s="4">
        <v>840103</v>
      </c>
      <c r="AI94" s="4" t="s">
        <v>139</v>
      </c>
      <c r="AJ94" s="4" t="s">
        <v>55</v>
      </c>
      <c r="AK94" s="5">
        <v>45610</v>
      </c>
      <c r="AL94" s="6">
        <v>45611</v>
      </c>
      <c r="AM94" s="6">
        <v>46081</v>
      </c>
      <c r="AN94" s="4">
        <v>10</v>
      </c>
      <c r="AO94" s="6">
        <v>49260</v>
      </c>
      <c r="AP94" s="4">
        <v>78</v>
      </c>
      <c r="AQ94" s="4" t="s">
        <v>218</v>
      </c>
      <c r="AR94" s="4" t="s">
        <v>219</v>
      </c>
      <c r="AS94" s="4" t="s">
        <v>220</v>
      </c>
      <c r="AT94" s="4" t="s">
        <v>49</v>
      </c>
    </row>
    <row r="95" spans="1:46" ht="75" x14ac:dyDescent="0.25">
      <c r="A95" s="4">
        <v>39255049</v>
      </c>
      <c r="B95" s="4" t="str">
        <f>""</f>
        <v/>
      </c>
      <c r="C95" s="4" t="str">
        <f t="shared" si="12"/>
        <v>300100280002</v>
      </c>
      <c r="D95" s="4">
        <v>15</v>
      </c>
      <c r="E95" s="4" t="s">
        <v>132</v>
      </c>
      <c r="F95" s="4" t="s">
        <v>217</v>
      </c>
      <c r="G95" s="4" t="str">
        <f>"39255049"</f>
        <v>39255049</v>
      </c>
      <c r="H95" s="4" t="str">
        <f t="shared" si="13"/>
        <v>SILLA TIYAKUY</v>
      </c>
      <c r="I95" s="4" t="str">
        <f t="shared" si="9"/>
        <v>N/A</v>
      </c>
      <c r="J95" s="4" t="s">
        <v>49</v>
      </c>
      <c r="K95" s="4"/>
      <c r="L95" s="4">
        <v>78</v>
      </c>
      <c r="M95" s="4" t="s">
        <v>49</v>
      </c>
      <c r="N95" s="4" t="s">
        <v>113</v>
      </c>
      <c r="O95" s="4" t="s">
        <v>203</v>
      </c>
      <c r="P95" s="4" t="s">
        <v>204</v>
      </c>
      <c r="Q95" s="4" t="s">
        <v>54</v>
      </c>
      <c r="R95" s="4" t="s">
        <v>55</v>
      </c>
      <c r="S95" s="4" t="s">
        <v>56</v>
      </c>
      <c r="T95" s="4">
        <v>6</v>
      </c>
      <c r="U95" s="4" t="s">
        <v>57</v>
      </c>
      <c r="V95" s="4">
        <v>97459</v>
      </c>
      <c r="W95" s="4" t="s">
        <v>58</v>
      </c>
      <c r="X95" s="4">
        <v>1714641105</v>
      </c>
      <c r="Y95" s="4" t="s">
        <v>89</v>
      </c>
      <c r="Z95" s="4" t="s">
        <v>55</v>
      </c>
      <c r="AA95" s="4" t="s">
        <v>60</v>
      </c>
      <c r="AB95" s="4" t="s">
        <v>61</v>
      </c>
      <c r="AC95" s="4">
        <v>443</v>
      </c>
      <c r="AD95" s="4" t="s">
        <v>62</v>
      </c>
      <c r="AE95" s="4" t="s">
        <v>55</v>
      </c>
      <c r="AF95" s="4" t="s">
        <v>55</v>
      </c>
      <c r="AG95" s="4" t="s">
        <v>205</v>
      </c>
      <c r="AH95" s="4">
        <v>840103</v>
      </c>
      <c r="AI95" s="4" t="s">
        <v>139</v>
      </c>
      <c r="AJ95" s="4" t="s">
        <v>55</v>
      </c>
      <c r="AK95" s="5">
        <v>45610</v>
      </c>
      <c r="AL95" s="6">
        <v>45611</v>
      </c>
      <c r="AM95" s="6">
        <v>46081</v>
      </c>
      <c r="AN95" s="4">
        <v>10</v>
      </c>
      <c r="AO95" s="6">
        <v>49260</v>
      </c>
      <c r="AP95" s="4">
        <v>78</v>
      </c>
      <c r="AQ95" s="4" t="s">
        <v>218</v>
      </c>
      <c r="AR95" s="4" t="s">
        <v>219</v>
      </c>
      <c r="AS95" s="4" t="s">
        <v>220</v>
      </c>
      <c r="AT95" s="4" t="s">
        <v>49</v>
      </c>
    </row>
    <row r="96" spans="1:46" ht="75" x14ac:dyDescent="0.25">
      <c r="A96" s="4">
        <v>39255050</v>
      </c>
      <c r="B96" s="4" t="str">
        <f>""</f>
        <v/>
      </c>
      <c r="C96" s="4" t="str">
        <f t="shared" si="12"/>
        <v>300100280002</v>
      </c>
      <c r="D96" s="4">
        <v>15</v>
      </c>
      <c r="E96" s="4" t="s">
        <v>132</v>
      </c>
      <c r="F96" s="4" t="s">
        <v>217</v>
      </c>
      <c r="G96" s="4" t="str">
        <f>"39255050"</f>
        <v>39255050</v>
      </c>
      <c r="H96" s="4" t="str">
        <f t="shared" si="13"/>
        <v>SILLA TIYAKUY</v>
      </c>
      <c r="I96" s="4" t="str">
        <f t="shared" si="9"/>
        <v>N/A</v>
      </c>
      <c r="J96" s="4" t="s">
        <v>49</v>
      </c>
      <c r="K96" s="4"/>
      <c r="L96" s="4">
        <v>78</v>
      </c>
      <c r="M96" s="4" t="s">
        <v>49</v>
      </c>
      <c r="N96" s="4" t="s">
        <v>113</v>
      </c>
      <c r="O96" s="4" t="s">
        <v>203</v>
      </c>
      <c r="P96" s="4" t="s">
        <v>204</v>
      </c>
      <c r="Q96" s="4" t="s">
        <v>54</v>
      </c>
      <c r="R96" s="4" t="s">
        <v>55</v>
      </c>
      <c r="S96" s="4" t="s">
        <v>56</v>
      </c>
      <c r="T96" s="4">
        <v>6</v>
      </c>
      <c r="U96" s="4" t="s">
        <v>57</v>
      </c>
      <c r="V96" s="4">
        <v>97459</v>
      </c>
      <c r="W96" s="4" t="s">
        <v>58</v>
      </c>
      <c r="X96" s="4">
        <v>1709459232</v>
      </c>
      <c r="Y96" s="4" t="s">
        <v>87</v>
      </c>
      <c r="Z96" s="4" t="s">
        <v>55</v>
      </c>
      <c r="AA96" s="4" t="s">
        <v>60</v>
      </c>
      <c r="AB96" s="4" t="s">
        <v>61</v>
      </c>
      <c r="AC96" s="4">
        <v>443</v>
      </c>
      <c r="AD96" s="4" t="s">
        <v>62</v>
      </c>
      <c r="AE96" s="4" t="s">
        <v>55</v>
      </c>
      <c r="AF96" s="4" t="s">
        <v>55</v>
      </c>
      <c r="AG96" s="4" t="s">
        <v>205</v>
      </c>
      <c r="AH96" s="4">
        <v>840103</v>
      </c>
      <c r="AI96" s="4" t="s">
        <v>139</v>
      </c>
      <c r="AJ96" s="4" t="s">
        <v>55</v>
      </c>
      <c r="AK96" s="5">
        <v>45610</v>
      </c>
      <c r="AL96" s="6">
        <v>45611</v>
      </c>
      <c r="AM96" s="6">
        <v>46081</v>
      </c>
      <c r="AN96" s="4">
        <v>10</v>
      </c>
      <c r="AO96" s="6">
        <v>49260</v>
      </c>
      <c r="AP96" s="4">
        <v>78</v>
      </c>
      <c r="AQ96" s="4" t="s">
        <v>218</v>
      </c>
      <c r="AR96" s="4" t="s">
        <v>219</v>
      </c>
      <c r="AS96" s="4" t="s">
        <v>220</v>
      </c>
      <c r="AT96" s="4" t="s">
        <v>49</v>
      </c>
    </row>
    <row r="97" spans="1:46" ht="75" x14ac:dyDescent="0.25">
      <c r="A97" s="4">
        <v>39255051</v>
      </c>
      <c r="B97" s="4" t="str">
        <f>""</f>
        <v/>
      </c>
      <c r="C97" s="4" t="str">
        <f t="shared" si="12"/>
        <v>300100280002</v>
      </c>
      <c r="D97" s="4">
        <v>15</v>
      </c>
      <c r="E97" s="4" t="s">
        <v>132</v>
      </c>
      <c r="F97" s="4" t="s">
        <v>217</v>
      </c>
      <c r="G97" s="4" t="str">
        <f>"39255051"</f>
        <v>39255051</v>
      </c>
      <c r="H97" s="4" t="str">
        <f t="shared" si="13"/>
        <v>SILLA TIYAKUY</v>
      </c>
      <c r="I97" s="4" t="str">
        <f t="shared" si="9"/>
        <v>N/A</v>
      </c>
      <c r="J97" s="4" t="s">
        <v>49</v>
      </c>
      <c r="K97" s="4"/>
      <c r="L97" s="4">
        <v>78</v>
      </c>
      <c r="M97" s="4" t="s">
        <v>49</v>
      </c>
      <c r="N97" s="4" t="s">
        <v>113</v>
      </c>
      <c r="O97" s="4" t="s">
        <v>203</v>
      </c>
      <c r="P97" s="4" t="s">
        <v>204</v>
      </c>
      <c r="Q97" s="4" t="s">
        <v>54</v>
      </c>
      <c r="R97" s="4" t="s">
        <v>55</v>
      </c>
      <c r="S97" s="4" t="s">
        <v>56</v>
      </c>
      <c r="T97" s="4">
        <v>6</v>
      </c>
      <c r="U97" s="4" t="s">
        <v>57</v>
      </c>
      <c r="V97" s="4">
        <v>97459</v>
      </c>
      <c r="W97" s="4" t="s">
        <v>58</v>
      </c>
      <c r="X97" s="4">
        <v>1726517327</v>
      </c>
      <c r="Y97" s="4" t="s">
        <v>152</v>
      </c>
      <c r="Z97" s="4" t="s">
        <v>55</v>
      </c>
      <c r="AA97" s="4" t="s">
        <v>60</v>
      </c>
      <c r="AB97" s="4" t="s">
        <v>61</v>
      </c>
      <c r="AC97" s="4">
        <v>443</v>
      </c>
      <c r="AD97" s="4" t="s">
        <v>62</v>
      </c>
      <c r="AE97" s="4" t="s">
        <v>55</v>
      </c>
      <c r="AF97" s="4" t="s">
        <v>55</v>
      </c>
      <c r="AG97" s="4" t="s">
        <v>205</v>
      </c>
      <c r="AH97" s="4">
        <v>840103</v>
      </c>
      <c r="AI97" s="4" t="s">
        <v>139</v>
      </c>
      <c r="AJ97" s="4" t="s">
        <v>55</v>
      </c>
      <c r="AK97" s="5">
        <v>45610</v>
      </c>
      <c r="AL97" s="6">
        <v>45611</v>
      </c>
      <c r="AM97" s="6">
        <v>46081</v>
      </c>
      <c r="AN97" s="4">
        <v>10</v>
      </c>
      <c r="AO97" s="6">
        <v>49260</v>
      </c>
      <c r="AP97" s="4">
        <v>78</v>
      </c>
      <c r="AQ97" s="4" t="s">
        <v>218</v>
      </c>
      <c r="AR97" s="4" t="s">
        <v>219</v>
      </c>
      <c r="AS97" s="4" t="s">
        <v>220</v>
      </c>
      <c r="AT97" s="4" t="s">
        <v>49</v>
      </c>
    </row>
    <row r="98" spans="1:46" ht="75" x14ac:dyDescent="0.25">
      <c r="A98" s="4">
        <v>39255052</v>
      </c>
      <c r="B98" s="4" t="str">
        <f>""</f>
        <v/>
      </c>
      <c r="C98" s="4" t="str">
        <f t="shared" si="12"/>
        <v>300100280002</v>
      </c>
      <c r="D98" s="4">
        <v>15</v>
      </c>
      <c r="E98" s="4" t="s">
        <v>132</v>
      </c>
      <c r="F98" s="4" t="s">
        <v>217</v>
      </c>
      <c r="G98" s="4" t="str">
        <f>"39255052"</f>
        <v>39255052</v>
      </c>
      <c r="H98" s="4" t="str">
        <f t="shared" si="13"/>
        <v>SILLA TIYAKUY</v>
      </c>
      <c r="I98" s="4" t="str">
        <f t="shared" si="9"/>
        <v>N/A</v>
      </c>
      <c r="J98" s="4" t="s">
        <v>49</v>
      </c>
      <c r="K98" s="4"/>
      <c r="L98" s="4">
        <v>78</v>
      </c>
      <c r="M98" s="4" t="s">
        <v>49</v>
      </c>
      <c r="N98" s="4" t="s">
        <v>113</v>
      </c>
      <c r="O98" s="4" t="s">
        <v>203</v>
      </c>
      <c r="P98" s="4" t="s">
        <v>204</v>
      </c>
      <c r="Q98" s="4" t="s">
        <v>54</v>
      </c>
      <c r="R98" s="4" t="s">
        <v>55</v>
      </c>
      <c r="S98" s="4" t="s">
        <v>56</v>
      </c>
      <c r="T98" s="4">
        <v>6</v>
      </c>
      <c r="U98" s="4" t="s">
        <v>57</v>
      </c>
      <c r="V98" s="4">
        <v>97459</v>
      </c>
      <c r="W98" s="4" t="s">
        <v>58</v>
      </c>
      <c r="X98" s="4">
        <v>1725514309</v>
      </c>
      <c r="Y98" s="4" t="s">
        <v>197</v>
      </c>
      <c r="Z98" s="4" t="s">
        <v>55</v>
      </c>
      <c r="AA98" s="4" t="s">
        <v>60</v>
      </c>
      <c r="AB98" s="4" t="s">
        <v>61</v>
      </c>
      <c r="AC98" s="4">
        <v>443</v>
      </c>
      <c r="AD98" s="4" t="s">
        <v>62</v>
      </c>
      <c r="AE98" s="4" t="s">
        <v>55</v>
      </c>
      <c r="AF98" s="4" t="s">
        <v>55</v>
      </c>
      <c r="AG98" s="4" t="s">
        <v>205</v>
      </c>
      <c r="AH98" s="4">
        <v>840103</v>
      </c>
      <c r="AI98" s="4" t="s">
        <v>139</v>
      </c>
      <c r="AJ98" s="4" t="s">
        <v>55</v>
      </c>
      <c r="AK98" s="5">
        <v>45610</v>
      </c>
      <c r="AL98" s="6">
        <v>45611</v>
      </c>
      <c r="AM98" s="6">
        <v>46081</v>
      </c>
      <c r="AN98" s="4">
        <v>10</v>
      </c>
      <c r="AO98" s="6">
        <v>49260</v>
      </c>
      <c r="AP98" s="4">
        <v>78</v>
      </c>
      <c r="AQ98" s="4" t="s">
        <v>218</v>
      </c>
      <c r="AR98" s="4" t="s">
        <v>219</v>
      </c>
      <c r="AS98" s="4" t="s">
        <v>220</v>
      </c>
      <c r="AT98" s="4" t="s">
        <v>49</v>
      </c>
    </row>
    <row r="99" spans="1:46" ht="75" x14ac:dyDescent="0.25">
      <c r="A99" s="4">
        <v>39255053</v>
      </c>
      <c r="B99" s="4" t="str">
        <f>""</f>
        <v/>
      </c>
      <c r="C99" s="4" t="str">
        <f t="shared" si="12"/>
        <v>300100280002</v>
      </c>
      <c r="D99" s="4">
        <v>15</v>
      </c>
      <c r="E99" s="4" t="s">
        <v>132</v>
      </c>
      <c r="F99" s="4" t="s">
        <v>217</v>
      </c>
      <c r="G99" s="4" t="str">
        <f>"39255053"</f>
        <v>39255053</v>
      </c>
      <c r="H99" s="4" t="str">
        <f t="shared" si="13"/>
        <v>SILLA TIYAKUY</v>
      </c>
      <c r="I99" s="4" t="str">
        <f t="shared" si="9"/>
        <v>N/A</v>
      </c>
      <c r="J99" s="4" t="s">
        <v>49</v>
      </c>
      <c r="K99" s="4"/>
      <c r="L99" s="4">
        <v>78</v>
      </c>
      <c r="M99" s="4" t="s">
        <v>49</v>
      </c>
      <c r="N99" s="4" t="s">
        <v>113</v>
      </c>
      <c r="O99" s="4" t="s">
        <v>203</v>
      </c>
      <c r="P99" s="4" t="s">
        <v>204</v>
      </c>
      <c r="Q99" s="4" t="s">
        <v>54</v>
      </c>
      <c r="R99" s="4" t="s">
        <v>55</v>
      </c>
      <c r="S99" s="4" t="s">
        <v>56</v>
      </c>
      <c r="T99" s="4">
        <v>6</v>
      </c>
      <c r="U99" s="4" t="s">
        <v>57</v>
      </c>
      <c r="V99" s="4">
        <v>97459</v>
      </c>
      <c r="W99" s="4" t="s">
        <v>58</v>
      </c>
      <c r="X99" s="4">
        <v>1722641816</v>
      </c>
      <c r="Y99" s="4" t="s">
        <v>222</v>
      </c>
      <c r="Z99" s="4" t="s">
        <v>55</v>
      </c>
      <c r="AA99" s="4" t="s">
        <v>60</v>
      </c>
      <c r="AB99" s="4" t="s">
        <v>61</v>
      </c>
      <c r="AC99" s="4">
        <v>443</v>
      </c>
      <c r="AD99" s="4" t="s">
        <v>62</v>
      </c>
      <c r="AE99" s="4" t="s">
        <v>55</v>
      </c>
      <c r="AF99" s="4" t="s">
        <v>55</v>
      </c>
      <c r="AG99" s="4" t="s">
        <v>205</v>
      </c>
      <c r="AH99" s="4">
        <v>840103</v>
      </c>
      <c r="AI99" s="4" t="s">
        <v>139</v>
      </c>
      <c r="AJ99" s="4" t="s">
        <v>55</v>
      </c>
      <c r="AK99" s="5">
        <v>45610</v>
      </c>
      <c r="AL99" s="6">
        <v>45611</v>
      </c>
      <c r="AM99" s="6">
        <v>46081</v>
      </c>
      <c r="AN99" s="4">
        <v>10</v>
      </c>
      <c r="AO99" s="6">
        <v>49260</v>
      </c>
      <c r="AP99" s="4">
        <v>78</v>
      </c>
      <c r="AQ99" s="4" t="s">
        <v>218</v>
      </c>
      <c r="AR99" s="4" t="s">
        <v>219</v>
      </c>
      <c r="AS99" s="4" t="s">
        <v>220</v>
      </c>
      <c r="AT99" s="4" t="s">
        <v>49</v>
      </c>
    </row>
    <row r="100" spans="1:46" ht="75" x14ac:dyDescent="0.25">
      <c r="A100" s="4">
        <v>39255054</v>
      </c>
      <c r="B100" s="4" t="str">
        <f>""</f>
        <v/>
      </c>
      <c r="C100" s="4" t="str">
        <f t="shared" si="12"/>
        <v>300100280002</v>
      </c>
      <c r="D100" s="4">
        <v>15</v>
      </c>
      <c r="E100" s="4" t="s">
        <v>132</v>
      </c>
      <c r="F100" s="4" t="s">
        <v>217</v>
      </c>
      <c r="G100" s="4" t="str">
        <f>"39255054"</f>
        <v>39255054</v>
      </c>
      <c r="H100" s="4" t="str">
        <f t="shared" si="13"/>
        <v>SILLA TIYAKUY</v>
      </c>
      <c r="I100" s="4" t="str">
        <f t="shared" si="9"/>
        <v>N/A</v>
      </c>
      <c r="J100" s="4" t="s">
        <v>49</v>
      </c>
      <c r="K100" s="4"/>
      <c r="L100" s="4">
        <v>78</v>
      </c>
      <c r="M100" s="4" t="s">
        <v>49</v>
      </c>
      <c r="N100" s="4" t="s">
        <v>113</v>
      </c>
      <c r="O100" s="4" t="s">
        <v>203</v>
      </c>
      <c r="P100" s="4" t="s">
        <v>204</v>
      </c>
      <c r="Q100" s="4" t="s">
        <v>54</v>
      </c>
      <c r="R100" s="4" t="s">
        <v>55</v>
      </c>
      <c r="S100" s="4" t="s">
        <v>56</v>
      </c>
      <c r="T100" s="4">
        <v>6</v>
      </c>
      <c r="U100" s="4" t="s">
        <v>57</v>
      </c>
      <c r="V100" s="4">
        <v>97459</v>
      </c>
      <c r="W100" s="4" t="s">
        <v>58</v>
      </c>
      <c r="X100" s="4">
        <v>1719443135</v>
      </c>
      <c r="Y100" s="4" t="s">
        <v>109</v>
      </c>
      <c r="Z100" s="4" t="s">
        <v>55</v>
      </c>
      <c r="AA100" s="4" t="s">
        <v>60</v>
      </c>
      <c r="AB100" s="4" t="s">
        <v>61</v>
      </c>
      <c r="AC100" s="4">
        <v>443</v>
      </c>
      <c r="AD100" s="4" t="s">
        <v>62</v>
      </c>
      <c r="AE100" s="4" t="s">
        <v>55</v>
      </c>
      <c r="AF100" s="4" t="s">
        <v>55</v>
      </c>
      <c r="AG100" s="4" t="s">
        <v>205</v>
      </c>
      <c r="AH100" s="4">
        <v>840103</v>
      </c>
      <c r="AI100" s="4" t="s">
        <v>139</v>
      </c>
      <c r="AJ100" s="4" t="s">
        <v>55</v>
      </c>
      <c r="AK100" s="5">
        <v>45610</v>
      </c>
      <c r="AL100" s="6">
        <v>45611</v>
      </c>
      <c r="AM100" s="6">
        <v>46081</v>
      </c>
      <c r="AN100" s="4">
        <v>10</v>
      </c>
      <c r="AO100" s="6">
        <v>49260</v>
      </c>
      <c r="AP100" s="4">
        <v>78</v>
      </c>
      <c r="AQ100" s="4" t="s">
        <v>218</v>
      </c>
      <c r="AR100" s="4" t="s">
        <v>219</v>
      </c>
      <c r="AS100" s="4" t="s">
        <v>220</v>
      </c>
      <c r="AT100" s="4" t="s">
        <v>49</v>
      </c>
    </row>
    <row r="101" spans="1:46" ht="75" x14ac:dyDescent="0.25">
      <c r="A101" s="4">
        <v>39255055</v>
      </c>
      <c r="B101" s="4" t="str">
        <f>""</f>
        <v/>
      </c>
      <c r="C101" s="4" t="str">
        <f t="shared" si="12"/>
        <v>300100280002</v>
      </c>
      <c r="D101" s="4">
        <v>15</v>
      </c>
      <c r="E101" s="4" t="s">
        <v>132</v>
      </c>
      <c r="F101" s="4" t="s">
        <v>217</v>
      </c>
      <c r="G101" s="4" t="str">
        <f>"39255055"</f>
        <v>39255055</v>
      </c>
      <c r="H101" s="4" t="str">
        <f t="shared" si="13"/>
        <v>SILLA TIYAKUY</v>
      </c>
      <c r="I101" s="4" t="str">
        <f t="shared" si="9"/>
        <v>N/A</v>
      </c>
      <c r="J101" s="4" t="s">
        <v>49</v>
      </c>
      <c r="K101" s="4"/>
      <c r="L101" s="4">
        <v>78</v>
      </c>
      <c r="M101" s="4" t="s">
        <v>49</v>
      </c>
      <c r="N101" s="4" t="s">
        <v>113</v>
      </c>
      <c r="O101" s="4" t="s">
        <v>203</v>
      </c>
      <c r="P101" s="4" t="s">
        <v>204</v>
      </c>
      <c r="Q101" s="4" t="s">
        <v>54</v>
      </c>
      <c r="R101" s="4" t="s">
        <v>55</v>
      </c>
      <c r="S101" s="4" t="s">
        <v>56</v>
      </c>
      <c r="T101" s="4">
        <v>6</v>
      </c>
      <c r="U101" s="4" t="s">
        <v>57</v>
      </c>
      <c r="V101" s="4">
        <v>97459</v>
      </c>
      <c r="W101" s="4" t="s">
        <v>58</v>
      </c>
      <c r="X101" s="4">
        <v>1717662512</v>
      </c>
      <c r="Y101" s="4" t="s">
        <v>71</v>
      </c>
      <c r="Z101" s="4" t="s">
        <v>55</v>
      </c>
      <c r="AA101" s="4" t="s">
        <v>60</v>
      </c>
      <c r="AB101" s="4" t="s">
        <v>61</v>
      </c>
      <c r="AC101" s="4">
        <v>443</v>
      </c>
      <c r="AD101" s="4" t="s">
        <v>62</v>
      </c>
      <c r="AE101" s="4" t="s">
        <v>55</v>
      </c>
      <c r="AF101" s="4" t="s">
        <v>55</v>
      </c>
      <c r="AG101" s="4" t="s">
        <v>205</v>
      </c>
      <c r="AH101" s="4">
        <v>840103</v>
      </c>
      <c r="AI101" s="4" t="s">
        <v>139</v>
      </c>
      <c r="AJ101" s="4" t="s">
        <v>55</v>
      </c>
      <c r="AK101" s="5">
        <v>45610</v>
      </c>
      <c r="AL101" s="6">
        <v>45610</v>
      </c>
      <c r="AM101" s="6">
        <v>46081</v>
      </c>
      <c r="AN101" s="4">
        <v>10</v>
      </c>
      <c r="AO101" s="6">
        <v>49259</v>
      </c>
      <c r="AP101" s="4">
        <v>78</v>
      </c>
      <c r="AQ101" s="4" t="s">
        <v>218</v>
      </c>
      <c r="AR101" s="4" t="s">
        <v>223</v>
      </c>
      <c r="AS101" s="4" t="s">
        <v>224</v>
      </c>
      <c r="AT101" s="4" t="s">
        <v>49</v>
      </c>
    </row>
    <row r="102" spans="1:46" ht="75" x14ac:dyDescent="0.25">
      <c r="A102" s="4">
        <v>39255056</v>
      </c>
      <c r="B102" s="4" t="str">
        <f>""</f>
        <v/>
      </c>
      <c r="C102" s="4" t="str">
        <f t="shared" si="12"/>
        <v>300100280002</v>
      </c>
      <c r="D102" s="4">
        <v>15</v>
      </c>
      <c r="E102" s="4" t="s">
        <v>132</v>
      </c>
      <c r="F102" s="4" t="s">
        <v>217</v>
      </c>
      <c r="G102" s="4" t="str">
        <f>"39255056"</f>
        <v>39255056</v>
      </c>
      <c r="H102" s="4" t="str">
        <f t="shared" si="13"/>
        <v>SILLA TIYAKUY</v>
      </c>
      <c r="I102" s="4" t="str">
        <f t="shared" si="9"/>
        <v>N/A</v>
      </c>
      <c r="J102" s="4" t="s">
        <v>49</v>
      </c>
      <c r="K102" s="4"/>
      <c r="L102" s="4">
        <v>78</v>
      </c>
      <c r="M102" s="4" t="s">
        <v>49</v>
      </c>
      <c r="N102" s="4" t="s">
        <v>113</v>
      </c>
      <c r="O102" s="4" t="s">
        <v>203</v>
      </c>
      <c r="P102" s="4" t="s">
        <v>204</v>
      </c>
      <c r="Q102" s="4" t="s">
        <v>54</v>
      </c>
      <c r="R102" s="4" t="s">
        <v>55</v>
      </c>
      <c r="S102" s="4" t="s">
        <v>56</v>
      </c>
      <c r="T102" s="4">
        <v>6</v>
      </c>
      <c r="U102" s="4" t="s">
        <v>57</v>
      </c>
      <c r="V102" s="4">
        <v>97459</v>
      </c>
      <c r="W102" s="4" t="s">
        <v>58</v>
      </c>
      <c r="X102" s="4">
        <v>1716349814</v>
      </c>
      <c r="Y102" s="4" t="s">
        <v>86</v>
      </c>
      <c r="Z102" s="4" t="s">
        <v>55</v>
      </c>
      <c r="AA102" s="4" t="s">
        <v>60</v>
      </c>
      <c r="AB102" s="4" t="s">
        <v>61</v>
      </c>
      <c r="AC102" s="4">
        <v>443</v>
      </c>
      <c r="AD102" s="4" t="s">
        <v>62</v>
      </c>
      <c r="AE102" s="4" t="s">
        <v>55</v>
      </c>
      <c r="AF102" s="4" t="s">
        <v>55</v>
      </c>
      <c r="AG102" s="4" t="s">
        <v>205</v>
      </c>
      <c r="AH102" s="4">
        <v>840103</v>
      </c>
      <c r="AI102" s="4" t="s">
        <v>139</v>
      </c>
      <c r="AJ102" s="4" t="s">
        <v>55</v>
      </c>
      <c r="AK102" s="5">
        <v>45610</v>
      </c>
      <c r="AL102" s="6">
        <v>45611</v>
      </c>
      <c r="AM102" s="6">
        <v>46081</v>
      </c>
      <c r="AN102" s="4">
        <v>10</v>
      </c>
      <c r="AO102" s="6">
        <v>49260</v>
      </c>
      <c r="AP102" s="4">
        <v>78</v>
      </c>
      <c r="AQ102" s="4" t="s">
        <v>218</v>
      </c>
      <c r="AR102" s="4" t="s">
        <v>219</v>
      </c>
      <c r="AS102" s="4" t="s">
        <v>220</v>
      </c>
      <c r="AT102" s="4" t="s">
        <v>49</v>
      </c>
    </row>
    <row r="103" spans="1:46" ht="75" x14ac:dyDescent="0.25">
      <c r="A103" s="4">
        <v>39255057</v>
      </c>
      <c r="B103" s="4" t="str">
        <f>""</f>
        <v/>
      </c>
      <c r="C103" s="4" t="str">
        <f t="shared" si="12"/>
        <v>300100280002</v>
      </c>
      <c r="D103" s="4">
        <v>15</v>
      </c>
      <c r="E103" s="4" t="s">
        <v>132</v>
      </c>
      <c r="F103" s="4" t="s">
        <v>217</v>
      </c>
      <c r="G103" s="4" t="str">
        <f>"39255057"</f>
        <v>39255057</v>
      </c>
      <c r="H103" s="4" t="str">
        <f t="shared" si="13"/>
        <v>SILLA TIYAKUY</v>
      </c>
      <c r="I103" s="4" t="str">
        <f t="shared" si="9"/>
        <v>N/A</v>
      </c>
      <c r="J103" s="4" t="s">
        <v>49</v>
      </c>
      <c r="K103" s="4"/>
      <c r="L103" s="4">
        <v>78</v>
      </c>
      <c r="M103" s="4" t="s">
        <v>49</v>
      </c>
      <c r="N103" s="4" t="s">
        <v>113</v>
      </c>
      <c r="O103" s="4" t="s">
        <v>203</v>
      </c>
      <c r="P103" s="4" t="s">
        <v>204</v>
      </c>
      <c r="Q103" s="4" t="s">
        <v>54</v>
      </c>
      <c r="R103" s="4" t="s">
        <v>55</v>
      </c>
      <c r="S103" s="4" t="s">
        <v>56</v>
      </c>
      <c r="T103" s="4">
        <v>6</v>
      </c>
      <c r="U103" s="4" t="s">
        <v>57</v>
      </c>
      <c r="V103" s="4">
        <v>97459</v>
      </c>
      <c r="W103" s="4" t="s">
        <v>58</v>
      </c>
      <c r="X103" s="4">
        <v>401265012</v>
      </c>
      <c r="Y103" s="4" t="s">
        <v>130</v>
      </c>
      <c r="Z103" s="4" t="s">
        <v>55</v>
      </c>
      <c r="AA103" s="4" t="s">
        <v>60</v>
      </c>
      <c r="AB103" s="4" t="s">
        <v>61</v>
      </c>
      <c r="AC103" s="4">
        <v>443</v>
      </c>
      <c r="AD103" s="4" t="s">
        <v>62</v>
      </c>
      <c r="AE103" s="4" t="s">
        <v>55</v>
      </c>
      <c r="AF103" s="4" t="s">
        <v>55</v>
      </c>
      <c r="AG103" s="4" t="s">
        <v>205</v>
      </c>
      <c r="AH103" s="4">
        <v>840103</v>
      </c>
      <c r="AI103" s="4" t="s">
        <v>139</v>
      </c>
      <c r="AJ103" s="4" t="s">
        <v>55</v>
      </c>
      <c r="AK103" s="5">
        <v>45610</v>
      </c>
      <c r="AL103" s="6">
        <v>45611</v>
      </c>
      <c r="AM103" s="6">
        <v>46081</v>
      </c>
      <c r="AN103" s="4">
        <v>10</v>
      </c>
      <c r="AO103" s="6">
        <v>49260</v>
      </c>
      <c r="AP103" s="4">
        <v>78</v>
      </c>
      <c r="AQ103" s="4" t="s">
        <v>218</v>
      </c>
      <c r="AR103" s="4" t="s">
        <v>219</v>
      </c>
      <c r="AS103" s="4" t="s">
        <v>220</v>
      </c>
      <c r="AT103" s="4" t="s">
        <v>49</v>
      </c>
    </row>
    <row r="104" spans="1:46" ht="75" x14ac:dyDescent="0.25">
      <c r="A104" s="4">
        <v>39255058</v>
      </c>
      <c r="B104" s="4" t="str">
        <f>""</f>
        <v/>
      </c>
      <c r="C104" s="4" t="str">
        <f t="shared" si="12"/>
        <v>300100280002</v>
      </c>
      <c r="D104" s="4">
        <v>15</v>
      </c>
      <c r="E104" s="4" t="s">
        <v>132</v>
      </c>
      <c r="F104" s="4" t="s">
        <v>217</v>
      </c>
      <c r="G104" s="4" t="str">
        <f>"39255058"</f>
        <v>39255058</v>
      </c>
      <c r="H104" s="4" t="str">
        <f t="shared" si="13"/>
        <v>SILLA TIYAKUY</v>
      </c>
      <c r="I104" s="4" t="str">
        <f t="shared" si="9"/>
        <v>N/A</v>
      </c>
      <c r="J104" s="4" t="s">
        <v>49</v>
      </c>
      <c r="K104" s="4"/>
      <c r="L104" s="4">
        <v>78</v>
      </c>
      <c r="M104" s="4" t="s">
        <v>49</v>
      </c>
      <c r="N104" s="4" t="s">
        <v>174</v>
      </c>
      <c r="O104" s="4" t="s">
        <v>203</v>
      </c>
      <c r="P104" s="4" t="s">
        <v>204</v>
      </c>
      <c r="Q104" s="4" t="s">
        <v>54</v>
      </c>
      <c r="R104" s="4" t="s">
        <v>55</v>
      </c>
      <c r="S104" s="4" t="s">
        <v>56</v>
      </c>
      <c r="T104" s="4">
        <v>6</v>
      </c>
      <c r="U104" s="4" t="s">
        <v>57</v>
      </c>
      <c r="V104" s="4">
        <v>97459</v>
      </c>
      <c r="W104" s="4" t="s">
        <v>58</v>
      </c>
      <c r="X104" s="4">
        <v>1003429584</v>
      </c>
      <c r="Y104" s="4" t="s">
        <v>95</v>
      </c>
      <c r="Z104" s="4" t="s">
        <v>55</v>
      </c>
      <c r="AA104" s="4" t="s">
        <v>60</v>
      </c>
      <c r="AB104" s="4" t="s">
        <v>61</v>
      </c>
      <c r="AC104" s="4">
        <v>443</v>
      </c>
      <c r="AD104" s="4" t="s">
        <v>62</v>
      </c>
      <c r="AE104" s="4" t="s">
        <v>55</v>
      </c>
      <c r="AF104" s="4" t="s">
        <v>55</v>
      </c>
      <c r="AG104" s="4" t="s">
        <v>205</v>
      </c>
      <c r="AH104" s="4">
        <v>840103</v>
      </c>
      <c r="AI104" s="4" t="s">
        <v>139</v>
      </c>
      <c r="AJ104" s="4" t="s">
        <v>55</v>
      </c>
      <c r="AK104" s="5">
        <v>45610</v>
      </c>
      <c r="AL104" s="6">
        <v>45611</v>
      </c>
      <c r="AM104" s="6">
        <v>46081</v>
      </c>
      <c r="AN104" s="4">
        <v>10</v>
      </c>
      <c r="AO104" s="6">
        <v>49260</v>
      </c>
      <c r="AP104" s="4">
        <v>78</v>
      </c>
      <c r="AQ104" s="4" t="s">
        <v>218</v>
      </c>
      <c r="AR104" s="4" t="s">
        <v>219</v>
      </c>
      <c r="AS104" s="4" t="s">
        <v>220</v>
      </c>
      <c r="AT104" s="4" t="s">
        <v>49</v>
      </c>
    </row>
    <row r="105" spans="1:46" ht="45" x14ac:dyDescent="0.25">
      <c r="A105" s="4">
        <v>39392197</v>
      </c>
      <c r="B105" s="4" t="str">
        <f>""</f>
        <v/>
      </c>
      <c r="C105" s="4" t="str">
        <f>"300100150003"</f>
        <v>300100150003</v>
      </c>
      <c r="D105" s="4">
        <v>21</v>
      </c>
      <c r="E105" s="4" t="s">
        <v>132</v>
      </c>
      <c r="F105" s="4" t="s">
        <v>225</v>
      </c>
      <c r="G105" s="4" t="str">
        <f>"39392197"</f>
        <v>39392197</v>
      </c>
      <c r="H105" s="4" t="str">
        <f>""</f>
        <v/>
      </c>
      <c r="I105" s="4" t="str">
        <f>""</f>
        <v/>
      </c>
      <c r="J105" s="4"/>
      <c r="K105" s="4"/>
      <c r="L105" s="4" t="s">
        <v>226</v>
      </c>
      <c r="M105" s="4"/>
      <c r="N105" s="4" t="s">
        <v>113</v>
      </c>
      <c r="O105" s="4" t="s">
        <v>69</v>
      </c>
      <c r="P105" s="4" t="s">
        <v>227</v>
      </c>
      <c r="Q105" s="4" t="s">
        <v>54</v>
      </c>
      <c r="R105" s="4" t="s">
        <v>55</v>
      </c>
      <c r="S105" s="4" t="s">
        <v>56</v>
      </c>
      <c r="T105" s="4">
        <v>6</v>
      </c>
      <c r="U105" s="4" t="s">
        <v>57</v>
      </c>
      <c r="V105" s="4">
        <v>97459</v>
      </c>
      <c r="W105" s="4" t="s">
        <v>58</v>
      </c>
      <c r="X105" s="4">
        <v>1709459232</v>
      </c>
      <c r="Y105" s="4" t="s">
        <v>87</v>
      </c>
      <c r="Z105" s="4" t="s">
        <v>55</v>
      </c>
      <c r="AA105" s="4" t="s">
        <v>60</v>
      </c>
      <c r="AB105" s="4" t="s">
        <v>61</v>
      </c>
      <c r="AC105" s="4">
        <v>441</v>
      </c>
      <c r="AD105" s="4" t="s">
        <v>62</v>
      </c>
      <c r="AE105" s="4" t="s">
        <v>55</v>
      </c>
      <c r="AF105" s="4" t="s">
        <v>55</v>
      </c>
      <c r="AG105" s="4" t="s">
        <v>228</v>
      </c>
      <c r="AH105" s="4">
        <v>840103</v>
      </c>
      <c r="AI105" s="4" t="s">
        <v>139</v>
      </c>
      <c r="AJ105" s="4" t="s">
        <v>55</v>
      </c>
      <c r="AK105" s="5">
        <v>45630</v>
      </c>
      <c r="AL105" s="6">
        <v>45630</v>
      </c>
      <c r="AM105" s="6">
        <v>46081</v>
      </c>
      <c r="AN105" s="4">
        <v>10</v>
      </c>
      <c r="AO105" s="6">
        <v>49279</v>
      </c>
      <c r="AP105" s="4" t="s">
        <v>226</v>
      </c>
      <c r="AQ105" s="4" t="s">
        <v>229</v>
      </c>
      <c r="AR105" s="4" t="s">
        <v>230</v>
      </c>
      <c r="AS105" s="4" t="s">
        <v>231</v>
      </c>
      <c r="AT105" s="4" t="s">
        <v>49</v>
      </c>
    </row>
    <row r="106" spans="1:46" ht="45" x14ac:dyDescent="0.25">
      <c r="A106" s="4">
        <v>39392198</v>
      </c>
      <c r="B106" s="4" t="str">
        <f>""</f>
        <v/>
      </c>
      <c r="C106" s="4" t="str">
        <f>"300100150003"</f>
        <v>300100150003</v>
      </c>
      <c r="D106" s="4">
        <v>21</v>
      </c>
      <c r="E106" s="4" t="s">
        <v>132</v>
      </c>
      <c r="F106" s="4" t="s">
        <v>225</v>
      </c>
      <c r="G106" s="4" t="str">
        <f>"39392198"</f>
        <v>39392198</v>
      </c>
      <c r="H106" s="4" t="str">
        <f>""</f>
        <v/>
      </c>
      <c r="I106" s="4" t="str">
        <f>""</f>
        <v/>
      </c>
      <c r="J106" s="4"/>
      <c r="K106" s="4"/>
      <c r="L106" s="4" t="s">
        <v>226</v>
      </c>
      <c r="M106" s="4"/>
      <c r="N106" s="4" t="s">
        <v>113</v>
      </c>
      <c r="O106" s="4" t="s">
        <v>69</v>
      </c>
      <c r="P106" s="4" t="s">
        <v>227</v>
      </c>
      <c r="Q106" s="4" t="s">
        <v>54</v>
      </c>
      <c r="R106" s="4" t="s">
        <v>55</v>
      </c>
      <c r="S106" s="4" t="s">
        <v>56</v>
      </c>
      <c r="T106" s="4">
        <v>6</v>
      </c>
      <c r="U106" s="4" t="s">
        <v>57</v>
      </c>
      <c r="V106" s="4">
        <v>97459</v>
      </c>
      <c r="W106" s="4" t="s">
        <v>58</v>
      </c>
      <c r="X106" s="4">
        <v>1709459232</v>
      </c>
      <c r="Y106" s="4" t="s">
        <v>87</v>
      </c>
      <c r="Z106" s="4" t="s">
        <v>55</v>
      </c>
      <c r="AA106" s="4" t="s">
        <v>60</v>
      </c>
      <c r="AB106" s="4" t="s">
        <v>61</v>
      </c>
      <c r="AC106" s="4">
        <v>441</v>
      </c>
      <c r="AD106" s="4" t="s">
        <v>62</v>
      </c>
      <c r="AE106" s="4" t="s">
        <v>55</v>
      </c>
      <c r="AF106" s="4" t="s">
        <v>55</v>
      </c>
      <c r="AG106" s="4" t="s">
        <v>228</v>
      </c>
      <c r="AH106" s="4">
        <v>840103</v>
      </c>
      <c r="AI106" s="4" t="s">
        <v>139</v>
      </c>
      <c r="AJ106" s="4" t="s">
        <v>55</v>
      </c>
      <c r="AK106" s="5">
        <v>45630</v>
      </c>
      <c r="AL106" s="6">
        <v>45630</v>
      </c>
      <c r="AM106" s="6">
        <v>46081</v>
      </c>
      <c r="AN106" s="4">
        <v>10</v>
      </c>
      <c r="AO106" s="6">
        <v>49279</v>
      </c>
      <c r="AP106" s="4" t="s">
        <v>226</v>
      </c>
      <c r="AQ106" s="4" t="s">
        <v>229</v>
      </c>
      <c r="AR106" s="4" t="s">
        <v>230</v>
      </c>
      <c r="AS106" s="4" t="s">
        <v>231</v>
      </c>
      <c r="AT106" s="4" t="s">
        <v>49</v>
      </c>
    </row>
    <row r="107" spans="1:46" ht="45" x14ac:dyDescent="0.25">
      <c r="A107" s="4">
        <v>39392199</v>
      </c>
      <c r="B107" s="4" t="str">
        <f>""</f>
        <v/>
      </c>
      <c r="C107" s="4" t="str">
        <f>"300100150003"</f>
        <v>300100150003</v>
      </c>
      <c r="D107" s="4">
        <v>21</v>
      </c>
      <c r="E107" s="4" t="s">
        <v>132</v>
      </c>
      <c r="F107" s="4" t="s">
        <v>225</v>
      </c>
      <c r="G107" s="4" t="str">
        <f>"39392199"</f>
        <v>39392199</v>
      </c>
      <c r="H107" s="4" t="str">
        <f>""</f>
        <v/>
      </c>
      <c r="I107" s="4" t="str">
        <f>""</f>
        <v/>
      </c>
      <c r="J107" s="4"/>
      <c r="K107" s="4"/>
      <c r="L107" s="4" t="s">
        <v>226</v>
      </c>
      <c r="M107" s="4"/>
      <c r="N107" s="4" t="s">
        <v>113</v>
      </c>
      <c r="O107" s="4" t="s">
        <v>69</v>
      </c>
      <c r="P107" s="4" t="s">
        <v>227</v>
      </c>
      <c r="Q107" s="4" t="s">
        <v>54</v>
      </c>
      <c r="R107" s="4" t="s">
        <v>55</v>
      </c>
      <c r="S107" s="4" t="s">
        <v>56</v>
      </c>
      <c r="T107" s="4">
        <v>6</v>
      </c>
      <c r="U107" s="4" t="s">
        <v>57</v>
      </c>
      <c r="V107" s="4">
        <v>97459</v>
      </c>
      <c r="W107" s="4" t="s">
        <v>58</v>
      </c>
      <c r="X107" s="4">
        <v>1709459232</v>
      </c>
      <c r="Y107" s="4" t="s">
        <v>87</v>
      </c>
      <c r="Z107" s="4" t="s">
        <v>55</v>
      </c>
      <c r="AA107" s="4" t="s">
        <v>60</v>
      </c>
      <c r="AB107" s="4" t="s">
        <v>61</v>
      </c>
      <c r="AC107" s="4">
        <v>441</v>
      </c>
      <c r="AD107" s="4" t="s">
        <v>62</v>
      </c>
      <c r="AE107" s="4" t="s">
        <v>55</v>
      </c>
      <c r="AF107" s="4" t="s">
        <v>55</v>
      </c>
      <c r="AG107" s="4" t="s">
        <v>228</v>
      </c>
      <c r="AH107" s="4">
        <v>840103</v>
      </c>
      <c r="AI107" s="4" t="s">
        <v>139</v>
      </c>
      <c r="AJ107" s="4" t="s">
        <v>55</v>
      </c>
      <c r="AK107" s="5">
        <v>45630</v>
      </c>
      <c r="AL107" s="6">
        <v>45630</v>
      </c>
      <c r="AM107" s="6">
        <v>46081</v>
      </c>
      <c r="AN107" s="4">
        <v>10</v>
      </c>
      <c r="AO107" s="6">
        <v>49279</v>
      </c>
      <c r="AP107" s="4" t="s">
        <v>226</v>
      </c>
      <c r="AQ107" s="4" t="s">
        <v>229</v>
      </c>
      <c r="AR107" s="4" t="s">
        <v>230</v>
      </c>
      <c r="AS107" s="4" t="s">
        <v>231</v>
      </c>
      <c r="AT107" s="4" t="s">
        <v>49</v>
      </c>
    </row>
    <row r="108" spans="1:46" ht="75" x14ac:dyDescent="0.25">
      <c r="A108" s="4">
        <v>39429144</v>
      </c>
      <c r="B108" s="4" t="str">
        <f>""</f>
        <v/>
      </c>
      <c r="C108" s="4" t="str">
        <f>"300100060005"</f>
        <v>300100060005</v>
      </c>
      <c r="D108" s="4">
        <v>22</v>
      </c>
      <c r="E108" s="4" t="s">
        <v>132</v>
      </c>
      <c r="F108" s="4" t="s">
        <v>232</v>
      </c>
      <c r="G108" s="4" t="str">
        <f>"39429144"</f>
        <v>39429144</v>
      </c>
      <c r="H108" s="4" t="str">
        <f>""</f>
        <v/>
      </c>
      <c r="I108" s="4" t="str">
        <f>""</f>
        <v/>
      </c>
      <c r="J108" s="4"/>
      <c r="K108" s="4"/>
      <c r="L108" s="4">
        <v>129</v>
      </c>
      <c r="M108" s="4"/>
      <c r="N108" s="4" t="s">
        <v>233</v>
      </c>
      <c r="O108" s="4" t="s">
        <v>234</v>
      </c>
      <c r="P108" s="4" t="s">
        <v>235</v>
      </c>
      <c r="Q108" s="4" t="s">
        <v>54</v>
      </c>
      <c r="R108" s="4" t="s">
        <v>55</v>
      </c>
      <c r="S108" s="4" t="s">
        <v>56</v>
      </c>
      <c r="T108" s="4">
        <v>6</v>
      </c>
      <c r="U108" s="4" t="s">
        <v>57</v>
      </c>
      <c r="V108" s="4">
        <v>97459</v>
      </c>
      <c r="W108" s="4" t="s">
        <v>58</v>
      </c>
      <c r="X108" s="4">
        <v>1716349814</v>
      </c>
      <c r="Y108" s="4" t="s">
        <v>86</v>
      </c>
      <c r="Z108" s="4" t="s">
        <v>55</v>
      </c>
      <c r="AA108" s="4" t="s">
        <v>60</v>
      </c>
      <c r="AB108" s="4" t="s">
        <v>61</v>
      </c>
      <c r="AC108" s="4">
        <v>442</v>
      </c>
      <c r="AD108" s="4" t="s">
        <v>62</v>
      </c>
      <c r="AE108" s="4" t="s">
        <v>55</v>
      </c>
      <c r="AF108" s="4" t="s">
        <v>55</v>
      </c>
      <c r="AG108" s="4" t="s">
        <v>236</v>
      </c>
      <c r="AH108" s="4">
        <v>840103</v>
      </c>
      <c r="AI108" s="4" t="s">
        <v>139</v>
      </c>
      <c r="AJ108" s="4" t="s">
        <v>55</v>
      </c>
      <c r="AK108" s="5">
        <v>45635</v>
      </c>
      <c r="AL108" s="6">
        <v>45635</v>
      </c>
      <c r="AM108" s="6">
        <v>46081</v>
      </c>
      <c r="AN108" s="4">
        <v>10</v>
      </c>
      <c r="AO108" s="6">
        <v>49284</v>
      </c>
      <c r="AP108" s="4">
        <v>129</v>
      </c>
      <c r="AQ108" s="4" t="s">
        <v>237</v>
      </c>
      <c r="AR108" s="4" t="s">
        <v>238</v>
      </c>
      <c r="AS108" s="4" t="s">
        <v>239</v>
      </c>
      <c r="AT108" s="4" t="s">
        <v>49</v>
      </c>
    </row>
    <row r="109" spans="1:46" ht="75" x14ac:dyDescent="0.25">
      <c r="A109" s="4">
        <v>39429145</v>
      </c>
      <c r="B109" s="4" t="str">
        <f>""</f>
        <v/>
      </c>
      <c r="C109" s="4" t="str">
        <f>"300100060005"</f>
        <v>300100060005</v>
      </c>
      <c r="D109" s="4">
        <v>22</v>
      </c>
      <c r="E109" s="4" t="s">
        <v>132</v>
      </c>
      <c r="F109" s="4" t="s">
        <v>232</v>
      </c>
      <c r="G109" s="4" t="str">
        <f>"39429145"</f>
        <v>39429145</v>
      </c>
      <c r="H109" s="4" t="str">
        <f>""</f>
        <v/>
      </c>
      <c r="I109" s="4" t="str">
        <f>""</f>
        <v/>
      </c>
      <c r="J109" s="4"/>
      <c r="K109" s="4"/>
      <c r="L109" s="4">
        <v>129</v>
      </c>
      <c r="M109" s="4"/>
      <c r="N109" s="4" t="s">
        <v>233</v>
      </c>
      <c r="O109" s="4" t="s">
        <v>234</v>
      </c>
      <c r="P109" s="4" t="s">
        <v>235</v>
      </c>
      <c r="Q109" s="4" t="s">
        <v>54</v>
      </c>
      <c r="R109" s="4" t="s">
        <v>55</v>
      </c>
      <c r="S109" s="4" t="s">
        <v>56</v>
      </c>
      <c r="T109" s="4">
        <v>6</v>
      </c>
      <c r="U109" s="4" t="s">
        <v>57</v>
      </c>
      <c r="V109" s="4">
        <v>97459</v>
      </c>
      <c r="W109" s="4" t="s">
        <v>58</v>
      </c>
      <c r="X109" s="4">
        <v>1717662512</v>
      </c>
      <c r="Y109" s="4" t="s">
        <v>71</v>
      </c>
      <c r="Z109" s="4" t="s">
        <v>55</v>
      </c>
      <c r="AA109" s="4" t="s">
        <v>60</v>
      </c>
      <c r="AB109" s="4" t="s">
        <v>61</v>
      </c>
      <c r="AC109" s="4">
        <v>442</v>
      </c>
      <c r="AD109" s="4" t="s">
        <v>62</v>
      </c>
      <c r="AE109" s="4" t="s">
        <v>55</v>
      </c>
      <c r="AF109" s="4" t="s">
        <v>55</v>
      </c>
      <c r="AG109" s="4" t="s">
        <v>236</v>
      </c>
      <c r="AH109" s="4">
        <v>840103</v>
      </c>
      <c r="AI109" s="4" t="s">
        <v>139</v>
      </c>
      <c r="AJ109" s="4" t="s">
        <v>55</v>
      </c>
      <c r="AK109" s="5">
        <v>45635</v>
      </c>
      <c r="AL109" s="6">
        <v>45635</v>
      </c>
      <c r="AM109" s="6">
        <v>46081</v>
      </c>
      <c r="AN109" s="4">
        <v>10</v>
      </c>
      <c r="AO109" s="6">
        <v>49284</v>
      </c>
      <c r="AP109" s="4">
        <v>129</v>
      </c>
      <c r="AQ109" s="4" t="s">
        <v>237</v>
      </c>
      <c r="AR109" s="4" t="s">
        <v>238</v>
      </c>
      <c r="AS109" s="4" t="s">
        <v>239</v>
      </c>
      <c r="AT109" s="4" t="s">
        <v>49</v>
      </c>
    </row>
    <row r="110" spans="1:46" ht="75" x14ac:dyDescent="0.25">
      <c r="A110" s="4">
        <v>39429146</v>
      </c>
      <c r="B110" s="4" t="str">
        <f>""</f>
        <v/>
      </c>
      <c r="C110" s="4" t="str">
        <f>"300100060005"</f>
        <v>300100060005</v>
      </c>
      <c r="D110" s="4">
        <v>22</v>
      </c>
      <c r="E110" s="4" t="s">
        <v>132</v>
      </c>
      <c r="F110" s="4" t="s">
        <v>232</v>
      </c>
      <c r="G110" s="4" t="str">
        <f>"39429146"</f>
        <v>39429146</v>
      </c>
      <c r="H110" s="4" t="str">
        <f>""</f>
        <v/>
      </c>
      <c r="I110" s="4" t="str">
        <f>""</f>
        <v/>
      </c>
      <c r="J110" s="4"/>
      <c r="K110" s="4"/>
      <c r="L110" s="4">
        <v>129</v>
      </c>
      <c r="M110" s="4"/>
      <c r="N110" s="4" t="s">
        <v>113</v>
      </c>
      <c r="O110" s="4" t="s">
        <v>234</v>
      </c>
      <c r="P110" s="4" t="s">
        <v>235</v>
      </c>
      <c r="Q110" s="4" t="s">
        <v>54</v>
      </c>
      <c r="R110" s="4" t="s">
        <v>55</v>
      </c>
      <c r="S110" s="4" t="s">
        <v>56</v>
      </c>
      <c r="T110" s="4">
        <v>6</v>
      </c>
      <c r="U110" s="4" t="s">
        <v>57</v>
      </c>
      <c r="V110" s="4">
        <v>97459</v>
      </c>
      <c r="W110" s="4" t="s">
        <v>58</v>
      </c>
      <c r="X110" s="4">
        <v>102936168</v>
      </c>
      <c r="Y110" s="4" t="s">
        <v>59</v>
      </c>
      <c r="Z110" s="4" t="s">
        <v>55</v>
      </c>
      <c r="AA110" s="4" t="s">
        <v>60</v>
      </c>
      <c r="AB110" s="4" t="s">
        <v>61</v>
      </c>
      <c r="AC110" s="4">
        <v>442</v>
      </c>
      <c r="AD110" s="4" t="s">
        <v>62</v>
      </c>
      <c r="AE110" s="4" t="s">
        <v>55</v>
      </c>
      <c r="AF110" s="4" t="s">
        <v>55</v>
      </c>
      <c r="AG110" s="4" t="s">
        <v>236</v>
      </c>
      <c r="AH110" s="4">
        <v>840103</v>
      </c>
      <c r="AI110" s="4" t="s">
        <v>139</v>
      </c>
      <c r="AJ110" s="4" t="s">
        <v>55</v>
      </c>
      <c r="AK110" s="5">
        <v>45635</v>
      </c>
      <c r="AL110" s="6">
        <v>45635</v>
      </c>
      <c r="AM110" s="6">
        <v>46081</v>
      </c>
      <c r="AN110" s="4">
        <v>10</v>
      </c>
      <c r="AO110" s="6">
        <v>49284</v>
      </c>
      <c r="AP110" s="4">
        <v>129</v>
      </c>
      <c r="AQ110" s="4" t="s">
        <v>237</v>
      </c>
      <c r="AR110" s="4" t="s">
        <v>238</v>
      </c>
      <c r="AS110" s="4" t="s">
        <v>239</v>
      </c>
      <c r="AT110" s="4" t="s">
        <v>49</v>
      </c>
    </row>
    <row r="111" spans="1:46" ht="75" x14ac:dyDescent="0.25">
      <c r="A111" s="4">
        <v>39429147</v>
      </c>
      <c r="B111" s="4" t="str">
        <f>""</f>
        <v/>
      </c>
      <c r="C111" s="4" t="str">
        <f>"300800040002"</f>
        <v>300800040002</v>
      </c>
      <c r="D111" s="4">
        <v>22</v>
      </c>
      <c r="E111" s="4" t="s">
        <v>132</v>
      </c>
      <c r="F111" s="4" t="s">
        <v>240</v>
      </c>
      <c r="G111" s="4" t="str">
        <f>"39429147"</f>
        <v>39429147</v>
      </c>
      <c r="H111" s="4" t="str">
        <f>""</f>
        <v/>
      </c>
      <c r="I111" s="4" t="str">
        <f>""</f>
        <v/>
      </c>
      <c r="J111" s="4"/>
      <c r="K111" s="4"/>
      <c r="L111" s="4">
        <v>146</v>
      </c>
      <c r="M111" s="4"/>
      <c r="N111" s="4" t="s">
        <v>113</v>
      </c>
      <c r="O111" s="4" t="s">
        <v>69</v>
      </c>
      <c r="P111" s="4" t="s">
        <v>241</v>
      </c>
      <c r="Q111" s="4" t="s">
        <v>54</v>
      </c>
      <c r="R111" s="4" t="s">
        <v>55</v>
      </c>
      <c r="S111" s="4" t="s">
        <v>56</v>
      </c>
      <c r="T111" s="4">
        <v>6</v>
      </c>
      <c r="U111" s="4" t="s">
        <v>57</v>
      </c>
      <c r="V111" s="4">
        <v>97459</v>
      </c>
      <c r="W111" s="4" t="s">
        <v>58</v>
      </c>
      <c r="X111" s="4">
        <v>1711995694</v>
      </c>
      <c r="Y111" s="4" t="s">
        <v>169</v>
      </c>
      <c r="Z111" s="4" t="s">
        <v>55</v>
      </c>
      <c r="AA111" s="4" t="s">
        <v>60</v>
      </c>
      <c r="AB111" s="4" t="s">
        <v>61</v>
      </c>
      <c r="AC111" s="4">
        <v>442</v>
      </c>
      <c r="AD111" s="4" t="s">
        <v>62</v>
      </c>
      <c r="AE111" s="4" t="s">
        <v>55</v>
      </c>
      <c r="AF111" s="4" t="s">
        <v>55</v>
      </c>
      <c r="AG111" s="4" t="s">
        <v>236</v>
      </c>
      <c r="AH111" s="4">
        <v>840103</v>
      </c>
      <c r="AI111" s="4" t="s">
        <v>139</v>
      </c>
      <c r="AJ111" s="4" t="s">
        <v>55</v>
      </c>
      <c r="AK111" s="5">
        <v>45635</v>
      </c>
      <c r="AL111" s="6">
        <v>45635</v>
      </c>
      <c r="AM111" s="6">
        <v>46081</v>
      </c>
      <c r="AN111" s="4">
        <v>10</v>
      </c>
      <c r="AO111" s="6">
        <v>49284</v>
      </c>
      <c r="AP111" s="4">
        <v>146</v>
      </c>
      <c r="AQ111" s="4" t="s">
        <v>242</v>
      </c>
      <c r="AR111" s="4" t="s">
        <v>243</v>
      </c>
      <c r="AS111" s="4" t="s">
        <v>244</v>
      </c>
      <c r="AT111" s="4" t="s">
        <v>49</v>
      </c>
    </row>
    <row r="112" spans="1:46" ht="75" x14ac:dyDescent="0.25">
      <c r="A112" s="4">
        <v>39429148</v>
      </c>
      <c r="B112" s="4" t="str">
        <f>""</f>
        <v/>
      </c>
      <c r="C112" s="4" t="str">
        <f>"300800040002"</f>
        <v>300800040002</v>
      </c>
      <c r="D112" s="4">
        <v>22</v>
      </c>
      <c r="E112" s="4" t="s">
        <v>132</v>
      </c>
      <c r="F112" s="4" t="s">
        <v>240</v>
      </c>
      <c r="G112" s="4" t="str">
        <f>"39429148"</f>
        <v>39429148</v>
      </c>
      <c r="H112" s="4" t="str">
        <f>""</f>
        <v/>
      </c>
      <c r="I112" s="4" t="str">
        <f>""</f>
        <v/>
      </c>
      <c r="J112" s="4"/>
      <c r="K112" s="4"/>
      <c r="L112" s="4">
        <v>146</v>
      </c>
      <c r="M112" s="4"/>
      <c r="N112" s="4" t="s">
        <v>113</v>
      </c>
      <c r="O112" s="4" t="s">
        <v>69</v>
      </c>
      <c r="P112" s="4" t="s">
        <v>241</v>
      </c>
      <c r="Q112" s="4" t="s">
        <v>54</v>
      </c>
      <c r="R112" s="4" t="s">
        <v>55</v>
      </c>
      <c r="S112" s="4" t="s">
        <v>56</v>
      </c>
      <c r="T112" s="4">
        <v>6</v>
      </c>
      <c r="U112" s="4" t="s">
        <v>57</v>
      </c>
      <c r="V112" s="4">
        <v>97459</v>
      </c>
      <c r="W112" s="4" t="s">
        <v>58</v>
      </c>
      <c r="X112" s="4">
        <v>1709796500</v>
      </c>
      <c r="Y112" s="4" t="s">
        <v>157</v>
      </c>
      <c r="Z112" s="4" t="s">
        <v>55</v>
      </c>
      <c r="AA112" s="4" t="s">
        <v>60</v>
      </c>
      <c r="AB112" s="4" t="s">
        <v>61</v>
      </c>
      <c r="AC112" s="4">
        <v>442</v>
      </c>
      <c r="AD112" s="4" t="s">
        <v>62</v>
      </c>
      <c r="AE112" s="4" t="s">
        <v>55</v>
      </c>
      <c r="AF112" s="4" t="s">
        <v>55</v>
      </c>
      <c r="AG112" s="4" t="s">
        <v>236</v>
      </c>
      <c r="AH112" s="4">
        <v>840103</v>
      </c>
      <c r="AI112" s="4" t="s">
        <v>139</v>
      </c>
      <c r="AJ112" s="4" t="s">
        <v>55</v>
      </c>
      <c r="AK112" s="5">
        <v>45635</v>
      </c>
      <c r="AL112" s="6">
        <v>45635</v>
      </c>
      <c r="AM112" s="6">
        <v>46081</v>
      </c>
      <c r="AN112" s="4">
        <v>10</v>
      </c>
      <c r="AO112" s="6">
        <v>49284</v>
      </c>
      <c r="AP112" s="4">
        <v>146</v>
      </c>
      <c r="AQ112" s="4" t="s">
        <v>242</v>
      </c>
      <c r="AR112" s="4" t="s">
        <v>243</v>
      </c>
      <c r="AS112" s="4" t="s">
        <v>244</v>
      </c>
      <c r="AT112" s="4" t="s">
        <v>49</v>
      </c>
    </row>
    <row r="113" spans="1:46" ht="75" x14ac:dyDescent="0.25">
      <c r="A113" s="4">
        <v>39429149</v>
      </c>
      <c r="B113" s="4" t="str">
        <f>""</f>
        <v/>
      </c>
      <c r="C113" s="4" t="str">
        <f>"300800040002"</f>
        <v>300800040002</v>
      </c>
      <c r="D113" s="4">
        <v>22</v>
      </c>
      <c r="E113" s="4" t="s">
        <v>132</v>
      </c>
      <c r="F113" s="4" t="s">
        <v>240</v>
      </c>
      <c r="G113" s="4" t="str">
        <f>"39429149"</f>
        <v>39429149</v>
      </c>
      <c r="H113" s="4" t="str">
        <f>""</f>
        <v/>
      </c>
      <c r="I113" s="4" t="str">
        <f>""</f>
        <v/>
      </c>
      <c r="J113" s="4"/>
      <c r="K113" s="4"/>
      <c r="L113" s="4">
        <v>146</v>
      </c>
      <c r="M113" s="4"/>
      <c r="N113" s="4" t="s">
        <v>113</v>
      </c>
      <c r="O113" s="4" t="s">
        <v>69</v>
      </c>
      <c r="P113" s="4" t="s">
        <v>241</v>
      </c>
      <c r="Q113" s="4" t="s">
        <v>54</v>
      </c>
      <c r="R113" s="4" t="s">
        <v>55</v>
      </c>
      <c r="S113" s="4" t="s">
        <v>56</v>
      </c>
      <c r="T113" s="4">
        <v>6</v>
      </c>
      <c r="U113" s="4" t="s">
        <v>57</v>
      </c>
      <c r="V113" s="4">
        <v>97459</v>
      </c>
      <c r="W113" s="4" t="s">
        <v>58</v>
      </c>
      <c r="X113" s="4">
        <v>103542908</v>
      </c>
      <c r="Y113" s="4" t="s">
        <v>164</v>
      </c>
      <c r="Z113" s="4" t="s">
        <v>55</v>
      </c>
      <c r="AA113" s="4" t="s">
        <v>60</v>
      </c>
      <c r="AB113" s="4" t="s">
        <v>61</v>
      </c>
      <c r="AC113" s="4">
        <v>442</v>
      </c>
      <c r="AD113" s="4" t="s">
        <v>62</v>
      </c>
      <c r="AE113" s="4" t="s">
        <v>55</v>
      </c>
      <c r="AF113" s="4" t="s">
        <v>55</v>
      </c>
      <c r="AG113" s="4" t="s">
        <v>236</v>
      </c>
      <c r="AH113" s="4">
        <v>840103</v>
      </c>
      <c r="AI113" s="4" t="s">
        <v>139</v>
      </c>
      <c r="AJ113" s="4" t="s">
        <v>55</v>
      </c>
      <c r="AK113" s="5">
        <v>45635</v>
      </c>
      <c r="AL113" s="6">
        <v>45635</v>
      </c>
      <c r="AM113" s="6">
        <v>46081</v>
      </c>
      <c r="AN113" s="4">
        <v>10</v>
      </c>
      <c r="AO113" s="6">
        <v>49284</v>
      </c>
      <c r="AP113" s="4">
        <v>146</v>
      </c>
      <c r="AQ113" s="4" t="s">
        <v>242</v>
      </c>
      <c r="AR113" s="4" t="s">
        <v>243</v>
      </c>
      <c r="AS113" s="4" t="s">
        <v>244</v>
      </c>
      <c r="AT113" s="4" t="s">
        <v>49</v>
      </c>
    </row>
    <row r="114" spans="1:46" ht="75" x14ac:dyDescent="0.25">
      <c r="A114" s="4">
        <v>39429150</v>
      </c>
      <c r="B114" s="4" t="str">
        <f>""</f>
        <v/>
      </c>
      <c r="C114" s="4" t="str">
        <f>"300800040002"</f>
        <v>300800040002</v>
      </c>
      <c r="D114" s="4">
        <v>22</v>
      </c>
      <c r="E114" s="4" t="s">
        <v>132</v>
      </c>
      <c r="F114" s="4" t="s">
        <v>240</v>
      </c>
      <c r="G114" s="4" t="str">
        <f>"39429150"</f>
        <v>39429150</v>
      </c>
      <c r="H114" s="4" t="str">
        <f>""</f>
        <v/>
      </c>
      <c r="I114" s="4" t="str">
        <f>""</f>
        <v/>
      </c>
      <c r="J114" s="4"/>
      <c r="K114" s="4"/>
      <c r="L114" s="4">
        <v>146</v>
      </c>
      <c r="M114" s="4"/>
      <c r="N114" s="4" t="s">
        <v>113</v>
      </c>
      <c r="O114" s="4" t="s">
        <v>69</v>
      </c>
      <c r="P114" s="4" t="s">
        <v>241</v>
      </c>
      <c r="Q114" s="4" t="s">
        <v>54</v>
      </c>
      <c r="R114" s="4" t="s">
        <v>55</v>
      </c>
      <c r="S114" s="4" t="s">
        <v>56</v>
      </c>
      <c r="T114" s="4">
        <v>6</v>
      </c>
      <c r="U114" s="4" t="s">
        <v>57</v>
      </c>
      <c r="V114" s="4">
        <v>97459</v>
      </c>
      <c r="W114" s="4" t="s">
        <v>58</v>
      </c>
      <c r="X114" s="4">
        <v>1709459232</v>
      </c>
      <c r="Y114" s="4" t="s">
        <v>87</v>
      </c>
      <c r="Z114" s="4" t="s">
        <v>55</v>
      </c>
      <c r="AA114" s="4" t="s">
        <v>60</v>
      </c>
      <c r="AB114" s="4" t="s">
        <v>61</v>
      </c>
      <c r="AC114" s="4">
        <v>442</v>
      </c>
      <c r="AD114" s="4" t="s">
        <v>62</v>
      </c>
      <c r="AE114" s="4" t="s">
        <v>55</v>
      </c>
      <c r="AF114" s="4" t="s">
        <v>55</v>
      </c>
      <c r="AG114" s="4" t="s">
        <v>236</v>
      </c>
      <c r="AH114" s="4">
        <v>840103</v>
      </c>
      <c r="AI114" s="4" t="s">
        <v>139</v>
      </c>
      <c r="AJ114" s="4" t="s">
        <v>55</v>
      </c>
      <c r="AK114" s="5">
        <v>45635</v>
      </c>
      <c r="AL114" s="6">
        <v>45635</v>
      </c>
      <c r="AM114" s="6">
        <v>46081</v>
      </c>
      <c r="AN114" s="4">
        <v>10</v>
      </c>
      <c r="AO114" s="6">
        <v>49284</v>
      </c>
      <c r="AP114" s="4">
        <v>146</v>
      </c>
      <c r="AQ114" s="4" t="s">
        <v>242</v>
      </c>
      <c r="AR114" s="4" t="s">
        <v>243</v>
      </c>
      <c r="AS114" s="4" t="s">
        <v>244</v>
      </c>
      <c r="AT114" s="4" t="s">
        <v>49</v>
      </c>
    </row>
    <row r="115" spans="1:46" ht="75" x14ac:dyDescent="0.25">
      <c r="A115" s="4">
        <v>39429151</v>
      </c>
      <c r="B115" s="4" t="str">
        <f>""</f>
        <v/>
      </c>
      <c r="C115" s="4" t="str">
        <f>"300800040002"</f>
        <v>300800040002</v>
      </c>
      <c r="D115" s="4">
        <v>22</v>
      </c>
      <c r="E115" s="4" t="s">
        <v>132</v>
      </c>
      <c r="F115" s="4" t="s">
        <v>240</v>
      </c>
      <c r="G115" s="4" t="str">
        <f>"39429151"</f>
        <v>39429151</v>
      </c>
      <c r="H115" s="4" t="str">
        <f>""</f>
        <v/>
      </c>
      <c r="I115" s="4" t="str">
        <f>""</f>
        <v/>
      </c>
      <c r="J115" s="4"/>
      <c r="K115" s="4"/>
      <c r="L115" s="4">
        <v>146</v>
      </c>
      <c r="M115" s="4"/>
      <c r="N115" s="4" t="s">
        <v>113</v>
      </c>
      <c r="O115" s="4" t="s">
        <v>69</v>
      </c>
      <c r="P115" s="4" t="s">
        <v>241</v>
      </c>
      <c r="Q115" s="4" t="s">
        <v>54</v>
      </c>
      <c r="R115" s="4" t="s">
        <v>55</v>
      </c>
      <c r="S115" s="4" t="s">
        <v>56</v>
      </c>
      <c r="T115" s="4">
        <v>6</v>
      </c>
      <c r="U115" s="4" t="s">
        <v>57</v>
      </c>
      <c r="V115" s="4">
        <v>97459</v>
      </c>
      <c r="W115" s="4" t="s">
        <v>58</v>
      </c>
      <c r="X115" s="4">
        <v>1709459232</v>
      </c>
      <c r="Y115" s="4" t="s">
        <v>87</v>
      </c>
      <c r="Z115" s="4" t="s">
        <v>55</v>
      </c>
      <c r="AA115" s="4" t="s">
        <v>60</v>
      </c>
      <c r="AB115" s="4" t="s">
        <v>61</v>
      </c>
      <c r="AC115" s="4">
        <v>442</v>
      </c>
      <c r="AD115" s="4" t="s">
        <v>62</v>
      </c>
      <c r="AE115" s="4" t="s">
        <v>55</v>
      </c>
      <c r="AF115" s="4" t="s">
        <v>55</v>
      </c>
      <c r="AG115" s="4" t="s">
        <v>236</v>
      </c>
      <c r="AH115" s="4">
        <v>840103</v>
      </c>
      <c r="AI115" s="4" t="s">
        <v>139</v>
      </c>
      <c r="AJ115" s="4" t="s">
        <v>55</v>
      </c>
      <c r="AK115" s="5">
        <v>45635</v>
      </c>
      <c r="AL115" s="6">
        <v>45635</v>
      </c>
      <c r="AM115" s="6">
        <v>46081</v>
      </c>
      <c r="AN115" s="4">
        <v>10</v>
      </c>
      <c r="AO115" s="6">
        <v>49284</v>
      </c>
      <c r="AP115" s="4">
        <v>146</v>
      </c>
      <c r="AQ115" s="4" t="s">
        <v>242</v>
      </c>
      <c r="AR115" s="4" t="s">
        <v>243</v>
      </c>
      <c r="AS115" s="4" t="s">
        <v>244</v>
      </c>
      <c r="AT115" s="4" t="s">
        <v>49</v>
      </c>
    </row>
    <row r="116" spans="1:46" ht="30" x14ac:dyDescent="0.25">
      <c r="A116" s="4">
        <v>19762152</v>
      </c>
      <c r="B116" s="4" t="str">
        <f>""</f>
        <v/>
      </c>
      <c r="C116" s="4" t="str">
        <f>"401300270001"</f>
        <v>401300270001</v>
      </c>
      <c r="D116" s="4">
        <v>20</v>
      </c>
      <c r="E116" s="4" t="s">
        <v>132</v>
      </c>
      <c r="F116" s="4" t="s">
        <v>245</v>
      </c>
      <c r="G116" s="4" t="str">
        <f>"19762152"</f>
        <v>19762152</v>
      </c>
      <c r="H116" s="4" t="str">
        <f>"LG TV LED 55 SMART WEB OS 3.5/HDMI/USB/ISDBT/OS"</f>
        <v>LG TV LED 55 SMART WEB OS 3.5/HDMI/USB/ISDBT/OS</v>
      </c>
      <c r="I116" s="4" t="str">
        <f>"LG"</f>
        <v>LG</v>
      </c>
      <c r="J116" s="4" t="s">
        <v>49</v>
      </c>
      <c r="K116" s="4"/>
      <c r="L116" s="4" t="s">
        <v>246</v>
      </c>
      <c r="M116" s="4" t="s">
        <v>49</v>
      </c>
      <c r="N116" s="4" t="s">
        <v>113</v>
      </c>
      <c r="O116" s="4" t="s">
        <v>247</v>
      </c>
      <c r="P116" s="4" t="s">
        <v>248</v>
      </c>
      <c r="Q116" s="4" t="s">
        <v>54</v>
      </c>
      <c r="R116" s="4" t="s">
        <v>55</v>
      </c>
      <c r="S116" s="4" t="s">
        <v>56</v>
      </c>
      <c r="T116" s="4">
        <v>6</v>
      </c>
      <c r="U116" s="4" t="s">
        <v>57</v>
      </c>
      <c r="V116" s="4">
        <v>97459</v>
      </c>
      <c r="W116" s="4" t="s">
        <v>58</v>
      </c>
      <c r="X116" s="4">
        <v>1719443135</v>
      </c>
      <c r="Y116" s="4" t="s">
        <v>109</v>
      </c>
      <c r="Z116" s="4" t="s">
        <v>55</v>
      </c>
      <c r="AA116" s="4" t="s">
        <v>60</v>
      </c>
      <c r="AB116" s="4" t="s">
        <v>61</v>
      </c>
      <c r="AC116" s="4">
        <v>573</v>
      </c>
      <c r="AD116" s="4" t="s">
        <v>62</v>
      </c>
      <c r="AE116" s="4" t="s">
        <v>55</v>
      </c>
      <c r="AF116" s="4" t="s">
        <v>55</v>
      </c>
      <c r="AG116" s="4" t="s">
        <v>249</v>
      </c>
      <c r="AH116" s="4">
        <v>840104</v>
      </c>
      <c r="AI116" s="4" t="s">
        <v>250</v>
      </c>
      <c r="AJ116" s="4" t="s">
        <v>55</v>
      </c>
      <c r="AK116" s="5">
        <v>43066</v>
      </c>
      <c r="AL116" s="6">
        <v>43066</v>
      </c>
      <c r="AM116" s="6">
        <v>46081</v>
      </c>
      <c r="AN116" s="4">
        <v>10</v>
      </c>
      <c r="AO116" s="6">
        <v>46715</v>
      </c>
      <c r="AP116" s="4" t="s">
        <v>246</v>
      </c>
      <c r="AQ116" s="4" t="s">
        <v>251</v>
      </c>
      <c r="AR116" s="4" t="s">
        <v>252</v>
      </c>
      <c r="AS116" s="4" t="s">
        <v>253</v>
      </c>
      <c r="AT116" s="4" t="s">
        <v>49</v>
      </c>
    </row>
    <row r="117" spans="1:46" ht="90" x14ac:dyDescent="0.25">
      <c r="A117" s="4">
        <v>40135623</v>
      </c>
      <c r="B117" s="4" t="str">
        <f>""</f>
        <v/>
      </c>
      <c r="C117" s="4" t="str">
        <f>"401800380001"</f>
        <v>401800380001</v>
      </c>
      <c r="D117" s="4">
        <v>5</v>
      </c>
      <c r="E117" s="4" t="s">
        <v>132</v>
      </c>
      <c r="F117" s="4" t="s">
        <v>254</v>
      </c>
      <c r="G117" s="4" t="str">
        <f>"40135623"</f>
        <v>40135623</v>
      </c>
      <c r="H117" s="4" t="str">
        <f>""</f>
        <v/>
      </c>
      <c r="I117" s="4" t="str">
        <f>""</f>
        <v/>
      </c>
      <c r="J117" s="4"/>
      <c r="K117" s="4"/>
      <c r="L117" s="4">
        <v>102</v>
      </c>
      <c r="M117" s="4"/>
      <c r="N117" s="4" t="s">
        <v>113</v>
      </c>
      <c r="O117" s="4" t="s">
        <v>255</v>
      </c>
      <c r="P117" s="4" t="s">
        <v>256</v>
      </c>
      <c r="Q117" s="4" t="s">
        <v>54</v>
      </c>
      <c r="R117" s="4" t="s">
        <v>55</v>
      </c>
      <c r="S117" s="4" t="s">
        <v>56</v>
      </c>
      <c r="T117" s="4">
        <v>6</v>
      </c>
      <c r="U117" s="4" t="s">
        <v>57</v>
      </c>
      <c r="V117" s="4">
        <v>97459</v>
      </c>
      <c r="W117" s="4" t="s">
        <v>58</v>
      </c>
      <c r="X117" s="4">
        <v>1714641105</v>
      </c>
      <c r="Y117" s="4" t="s">
        <v>89</v>
      </c>
      <c r="Z117" s="4" t="s">
        <v>55</v>
      </c>
      <c r="AA117" s="4" t="s">
        <v>116</v>
      </c>
      <c r="AB117" s="4" t="s">
        <v>61</v>
      </c>
      <c r="AC117" s="4" t="s">
        <v>73</v>
      </c>
      <c r="AD117" s="4" t="s">
        <v>62</v>
      </c>
      <c r="AE117" s="4" t="s">
        <v>55</v>
      </c>
      <c r="AF117" s="4" t="s">
        <v>55</v>
      </c>
      <c r="AG117" s="4" t="s">
        <v>257</v>
      </c>
      <c r="AH117" s="4">
        <v>0</v>
      </c>
      <c r="AI117" s="4" t="s">
        <v>250</v>
      </c>
      <c r="AJ117" s="4" t="s">
        <v>55</v>
      </c>
      <c r="AK117" s="5">
        <v>45855</v>
      </c>
      <c r="AL117" s="6">
        <v>45855</v>
      </c>
      <c r="AM117" s="6">
        <v>46081</v>
      </c>
      <c r="AN117" s="4">
        <v>3</v>
      </c>
      <c r="AO117" s="6">
        <v>46949</v>
      </c>
      <c r="AP117" s="4">
        <v>102</v>
      </c>
      <c r="AQ117" s="4" t="s">
        <v>208</v>
      </c>
      <c r="AR117" s="4" t="s">
        <v>258</v>
      </c>
      <c r="AS117" s="4" t="s">
        <v>259</v>
      </c>
      <c r="AT117" s="4" t="s">
        <v>49</v>
      </c>
    </row>
    <row r="118" spans="1:46" ht="75" x14ac:dyDescent="0.25">
      <c r="A118" s="4">
        <v>30555422</v>
      </c>
      <c r="B118" s="4" t="str">
        <f>""</f>
        <v/>
      </c>
      <c r="C118" s="4" t="str">
        <f>"401700090001"</f>
        <v>401700090001</v>
      </c>
      <c r="D118" s="4">
        <v>3</v>
      </c>
      <c r="E118" s="4" t="s">
        <v>132</v>
      </c>
      <c r="F118" s="4" t="s">
        <v>260</v>
      </c>
      <c r="G118" s="4" t="str">
        <f>"30555422"</f>
        <v>30555422</v>
      </c>
      <c r="H118" s="4" t="str">
        <f>"N/A CARPA CON LOGOTIPO INSTITUCIONAL DE LONA REFORZADA"</f>
        <v>N/A CARPA CON LOGOTIPO INSTITUCIONAL DE LONA REFORZADA</v>
      </c>
      <c r="I118" s="4" t="str">
        <f>"SIN MARCA / ESTRUCTURA METALICA"</f>
        <v>SIN MARCA / ESTRUCTURA METALICA</v>
      </c>
      <c r="J118" s="4" t="s">
        <v>49</v>
      </c>
      <c r="K118" s="4"/>
      <c r="L118" s="4">
        <v>336</v>
      </c>
      <c r="M118" s="4" t="s">
        <v>49</v>
      </c>
      <c r="N118" s="4" t="s">
        <v>113</v>
      </c>
      <c r="O118" s="4" t="s">
        <v>261</v>
      </c>
      <c r="P118" s="4" t="s">
        <v>262</v>
      </c>
      <c r="Q118" s="4" t="s">
        <v>54</v>
      </c>
      <c r="R118" s="4" t="s">
        <v>55</v>
      </c>
      <c r="S118" s="4" t="s">
        <v>56</v>
      </c>
      <c r="T118" s="4">
        <v>6</v>
      </c>
      <c r="U118" s="4" t="s">
        <v>57</v>
      </c>
      <c r="V118" s="4">
        <v>97459</v>
      </c>
      <c r="W118" s="4" t="s">
        <v>58</v>
      </c>
      <c r="X118" s="4">
        <v>1717662512</v>
      </c>
      <c r="Y118" s="4" t="s">
        <v>71</v>
      </c>
      <c r="Z118" s="4" t="s">
        <v>55</v>
      </c>
      <c r="AA118" s="4" t="s">
        <v>263</v>
      </c>
      <c r="AB118" s="4" t="s">
        <v>61</v>
      </c>
      <c r="AC118" s="4" t="s">
        <v>73</v>
      </c>
      <c r="AD118" s="4" t="s">
        <v>62</v>
      </c>
      <c r="AE118" s="4" t="s">
        <v>55</v>
      </c>
      <c r="AF118" s="4" t="s">
        <v>55</v>
      </c>
      <c r="AG118" s="4" t="s">
        <v>264</v>
      </c>
      <c r="AH118" s="4">
        <v>0</v>
      </c>
      <c r="AI118" s="4" t="s">
        <v>250</v>
      </c>
      <c r="AJ118" s="4" t="s">
        <v>55</v>
      </c>
      <c r="AK118" s="5">
        <v>43893</v>
      </c>
      <c r="AL118" s="6">
        <v>43741</v>
      </c>
      <c r="AM118" s="6">
        <v>46081</v>
      </c>
      <c r="AN118" s="4">
        <v>10</v>
      </c>
      <c r="AO118" s="6">
        <v>47390</v>
      </c>
      <c r="AP118" s="4">
        <v>336</v>
      </c>
      <c r="AQ118" s="4" t="s">
        <v>265</v>
      </c>
      <c r="AR118" s="4" t="s">
        <v>266</v>
      </c>
      <c r="AS118" s="4" t="s">
        <v>267</v>
      </c>
      <c r="AT118" s="4" t="s">
        <v>49</v>
      </c>
    </row>
    <row r="119" spans="1:46" ht="75" x14ac:dyDescent="0.25">
      <c r="A119" s="4">
        <v>30555423</v>
      </c>
      <c r="B119" s="4" t="str">
        <f>""</f>
        <v/>
      </c>
      <c r="C119" s="4" t="str">
        <f>"401700090001"</f>
        <v>401700090001</v>
      </c>
      <c r="D119" s="4">
        <v>3</v>
      </c>
      <c r="E119" s="4" t="s">
        <v>132</v>
      </c>
      <c r="F119" s="4" t="s">
        <v>260</v>
      </c>
      <c r="G119" s="4" t="str">
        <f>"30555423"</f>
        <v>30555423</v>
      </c>
      <c r="H119" s="4" t="str">
        <f>"N/A CARPA CON LOGOTIPO INSTITUCIONAL DE LONA REFORZADA"</f>
        <v>N/A CARPA CON LOGOTIPO INSTITUCIONAL DE LONA REFORZADA</v>
      </c>
      <c r="I119" s="4" t="str">
        <f>"SIN MARCA / ESTRUCTURA METALICA "</f>
        <v xml:space="preserve">SIN MARCA / ESTRUCTURA METALICA </v>
      </c>
      <c r="J119" s="4" t="s">
        <v>49</v>
      </c>
      <c r="K119" s="4"/>
      <c r="L119" s="4">
        <v>336</v>
      </c>
      <c r="M119" s="4" t="s">
        <v>49</v>
      </c>
      <c r="N119" s="4" t="s">
        <v>113</v>
      </c>
      <c r="O119" s="4" t="s">
        <v>261</v>
      </c>
      <c r="P119" s="4" t="s">
        <v>262</v>
      </c>
      <c r="Q119" s="4" t="s">
        <v>54</v>
      </c>
      <c r="R119" s="4" t="s">
        <v>55</v>
      </c>
      <c r="S119" s="4" t="s">
        <v>56</v>
      </c>
      <c r="T119" s="4">
        <v>6</v>
      </c>
      <c r="U119" s="4" t="s">
        <v>57</v>
      </c>
      <c r="V119" s="4">
        <v>97459</v>
      </c>
      <c r="W119" s="4" t="s">
        <v>58</v>
      </c>
      <c r="X119" s="4">
        <v>1717662512</v>
      </c>
      <c r="Y119" s="4" t="s">
        <v>71</v>
      </c>
      <c r="Z119" s="4" t="s">
        <v>55</v>
      </c>
      <c r="AA119" s="4" t="s">
        <v>263</v>
      </c>
      <c r="AB119" s="4" t="s">
        <v>61</v>
      </c>
      <c r="AC119" s="4" t="s">
        <v>73</v>
      </c>
      <c r="AD119" s="4" t="s">
        <v>62</v>
      </c>
      <c r="AE119" s="4" t="s">
        <v>55</v>
      </c>
      <c r="AF119" s="4" t="s">
        <v>55</v>
      </c>
      <c r="AG119" s="4" t="s">
        <v>264</v>
      </c>
      <c r="AH119" s="4">
        <v>0</v>
      </c>
      <c r="AI119" s="4" t="s">
        <v>250</v>
      </c>
      <c r="AJ119" s="4" t="s">
        <v>55</v>
      </c>
      <c r="AK119" s="5">
        <v>43893</v>
      </c>
      <c r="AL119" s="6">
        <v>43741</v>
      </c>
      <c r="AM119" s="6">
        <v>46081</v>
      </c>
      <c r="AN119" s="4">
        <v>10</v>
      </c>
      <c r="AO119" s="6">
        <v>47390</v>
      </c>
      <c r="AP119" s="4">
        <v>336</v>
      </c>
      <c r="AQ119" s="4" t="s">
        <v>265</v>
      </c>
      <c r="AR119" s="4" t="s">
        <v>266</v>
      </c>
      <c r="AS119" s="4" t="s">
        <v>267</v>
      </c>
      <c r="AT119" s="4" t="s">
        <v>49</v>
      </c>
    </row>
    <row r="120" spans="1:46" ht="150" x14ac:dyDescent="0.25">
      <c r="A120" s="4">
        <v>19573954</v>
      </c>
      <c r="B120" s="4" t="str">
        <f>""</f>
        <v/>
      </c>
      <c r="C120" s="4" t="str">
        <f>"400100440001"</f>
        <v>400100440001</v>
      </c>
      <c r="D120" s="4">
        <v>16</v>
      </c>
      <c r="E120" s="4" t="s">
        <v>132</v>
      </c>
      <c r="F120" s="4" t="s">
        <v>268</v>
      </c>
      <c r="G120" s="4" t="str">
        <f>"19573954"</f>
        <v>19573954</v>
      </c>
      <c r="H120" s="4" t="str">
        <f>"PROYECTOR EPSON S31+ PANTALLA LCD 0.55 CON D7"</f>
        <v>PROYECTOR EPSON S31+ PANTALLA LCD 0.55 CON D7</v>
      </c>
      <c r="I120" s="4" t="str">
        <f>"EPSON / 3200 LUMEN EN LUZ A COLOR Y BLANCA RESOLUCION SVGA 800X600 4:3 CONECTIVIDAD 3 EN 1"</f>
        <v>EPSON / 3200 LUMEN EN LUZ A COLOR Y BLANCA RESOLUCION SVGA 800X600 4:3 CONECTIVIDAD 3 EN 1</v>
      </c>
      <c r="J120" s="4" t="s">
        <v>49</v>
      </c>
      <c r="K120" s="4"/>
      <c r="L120" s="4" t="s">
        <v>269</v>
      </c>
      <c r="M120" s="4" t="s">
        <v>49</v>
      </c>
      <c r="N120" s="4" t="s">
        <v>113</v>
      </c>
      <c r="O120" s="4" t="s">
        <v>270</v>
      </c>
      <c r="P120" s="4" t="s">
        <v>271</v>
      </c>
      <c r="Q120" s="4" t="s">
        <v>54</v>
      </c>
      <c r="R120" s="4" t="s">
        <v>55</v>
      </c>
      <c r="S120" s="4" t="s">
        <v>56</v>
      </c>
      <c r="T120" s="4">
        <v>6</v>
      </c>
      <c r="U120" s="4" t="s">
        <v>57</v>
      </c>
      <c r="V120" s="4">
        <v>97459</v>
      </c>
      <c r="W120" s="4" t="s">
        <v>58</v>
      </c>
      <c r="X120" s="4">
        <v>1717662512</v>
      </c>
      <c r="Y120" s="4" t="s">
        <v>71</v>
      </c>
      <c r="Z120" s="4" t="s">
        <v>55</v>
      </c>
      <c r="AA120" s="4" t="s">
        <v>60</v>
      </c>
      <c r="AB120" s="4" t="s">
        <v>61</v>
      </c>
      <c r="AC120" s="4">
        <v>556</v>
      </c>
      <c r="AD120" s="4" t="s">
        <v>62</v>
      </c>
      <c r="AE120" s="4" t="s">
        <v>55</v>
      </c>
      <c r="AF120" s="4" t="s">
        <v>55</v>
      </c>
      <c r="AG120" s="4" t="s">
        <v>272</v>
      </c>
      <c r="AH120" s="4">
        <v>840104</v>
      </c>
      <c r="AI120" s="4" t="s">
        <v>250</v>
      </c>
      <c r="AJ120" s="4" t="s">
        <v>55</v>
      </c>
      <c r="AK120" s="5">
        <v>43055</v>
      </c>
      <c r="AL120" s="6">
        <v>43061</v>
      </c>
      <c r="AM120" s="6">
        <v>46081</v>
      </c>
      <c r="AN120" s="4">
        <v>10</v>
      </c>
      <c r="AO120" s="6">
        <v>46710</v>
      </c>
      <c r="AP120" s="4" t="s">
        <v>269</v>
      </c>
      <c r="AQ120" s="4" t="s">
        <v>273</v>
      </c>
      <c r="AR120" s="4" t="s">
        <v>274</v>
      </c>
      <c r="AS120" s="4" t="s">
        <v>275</v>
      </c>
      <c r="AT120" s="4" t="s">
        <v>49</v>
      </c>
    </row>
    <row r="121" spans="1:46" ht="90" x14ac:dyDescent="0.25">
      <c r="A121" s="4">
        <v>19971132</v>
      </c>
      <c r="B121" s="4" t="str">
        <f>""</f>
        <v/>
      </c>
      <c r="C121" s="4" t="str">
        <f>"401100410001"</f>
        <v>401100410001</v>
      </c>
      <c r="D121" s="4">
        <v>21</v>
      </c>
      <c r="E121" s="4" t="s">
        <v>132</v>
      </c>
      <c r="F121" s="4" t="s">
        <v>276</v>
      </c>
      <c r="G121" s="4" t="str">
        <f>"19971132"</f>
        <v>19971132</v>
      </c>
      <c r="H121" s="4" t="str">
        <f>"FDR-AX53/ VIDEO CAMARA / MODO ACTIVO INTELIGENTE DE 5EJES /LENTE GRAN ANGULAR ZEISS"</f>
        <v>FDR-AX53/ VIDEO CAMARA / MODO ACTIVO INTELIGENTE DE 5EJES /LENTE GRAN ANGULAR ZEISS</v>
      </c>
      <c r="I121" s="4" t="str">
        <f>"SONY / GRABACION 4K/ ULTRA HD / BALANCED OPTICAL"</f>
        <v>SONY / GRABACION 4K/ ULTRA HD / BALANCED OPTICAL</v>
      </c>
      <c r="J121" s="4" t="s">
        <v>49</v>
      </c>
      <c r="K121" s="4"/>
      <c r="L121" s="4" t="s">
        <v>277</v>
      </c>
      <c r="M121" s="4" t="s">
        <v>49</v>
      </c>
      <c r="N121" s="4" t="s">
        <v>113</v>
      </c>
      <c r="O121" s="4" t="s">
        <v>278</v>
      </c>
      <c r="P121" s="4" t="s">
        <v>279</v>
      </c>
      <c r="Q121" s="4" t="s">
        <v>54</v>
      </c>
      <c r="R121" s="4" t="s">
        <v>55</v>
      </c>
      <c r="S121" s="4" t="s">
        <v>56</v>
      </c>
      <c r="T121" s="4">
        <v>6</v>
      </c>
      <c r="U121" s="4" t="s">
        <v>57</v>
      </c>
      <c r="V121" s="4">
        <v>97459</v>
      </c>
      <c r="W121" s="4" t="s">
        <v>58</v>
      </c>
      <c r="X121" s="4">
        <v>1717662512</v>
      </c>
      <c r="Y121" s="4" t="s">
        <v>71</v>
      </c>
      <c r="Z121" s="4" t="s">
        <v>55</v>
      </c>
      <c r="AA121" s="4" t="s">
        <v>60</v>
      </c>
      <c r="AB121" s="4" t="s">
        <v>61</v>
      </c>
      <c r="AC121" s="4">
        <v>592</v>
      </c>
      <c r="AD121" s="4" t="s">
        <v>62</v>
      </c>
      <c r="AE121" s="4" t="s">
        <v>55</v>
      </c>
      <c r="AF121" s="4" t="s">
        <v>55</v>
      </c>
      <c r="AG121" s="4" t="s">
        <v>280</v>
      </c>
      <c r="AH121" s="4">
        <v>840104</v>
      </c>
      <c r="AI121" s="4" t="s">
        <v>250</v>
      </c>
      <c r="AJ121" s="4" t="s">
        <v>55</v>
      </c>
      <c r="AK121" s="5">
        <v>43081</v>
      </c>
      <c r="AL121" s="6">
        <v>43081</v>
      </c>
      <c r="AM121" s="6">
        <v>46081</v>
      </c>
      <c r="AN121" s="4">
        <v>10</v>
      </c>
      <c r="AO121" s="6">
        <v>46730</v>
      </c>
      <c r="AP121" s="4" t="s">
        <v>277</v>
      </c>
      <c r="AQ121" s="4" t="s">
        <v>281</v>
      </c>
      <c r="AR121" s="4" t="s">
        <v>282</v>
      </c>
      <c r="AS121" s="4" t="s">
        <v>283</v>
      </c>
      <c r="AT121" s="4" t="s">
        <v>49</v>
      </c>
    </row>
    <row r="122" spans="1:46" ht="60" x14ac:dyDescent="0.25">
      <c r="A122" s="4">
        <v>26437577</v>
      </c>
      <c r="B122" s="4" t="str">
        <f>""</f>
        <v/>
      </c>
      <c r="C122" s="4" t="str">
        <f>"400100220001"</f>
        <v>400100220001</v>
      </c>
      <c r="D122" s="4">
        <v>10</v>
      </c>
      <c r="E122" s="4" t="s">
        <v>132</v>
      </c>
      <c r="F122" s="4" t="s">
        <v>284</v>
      </c>
      <c r="G122" s="4" t="str">
        <f>"26437577"</f>
        <v>26437577</v>
      </c>
      <c r="H122" s="4" t="str">
        <f>"ZKTeco k50 / Pantalla TFT LCD a color de 2.8 pulgadas"</f>
        <v>ZKTeco k50 / Pantalla TFT LCD a color de 2.8 pulgadas</v>
      </c>
      <c r="I122" s="4" t="str">
        <f>"ZKTeco/ Interfaz TCP/IP y puerto USB"</f>
        <v>ZKTeco/ Interfaz TCP/IP y puerto USB</v>
      </c>
      <c r="J122" s="4" t="s">
        <v>49</v>
      </c>
      <c r="K122" s="4"/>
      <c r="L122" s="4">
        <v>300</v>
      </c>
      <c r="M122" s="4" t="s">
        <v>49</v>
      </c>
      <c r="N122" s="4" t="s">
        <v>113</v>
      </c>
      <c r="O122" s="4" t="s">
        <v>285</v>
      </c>
      <c r="P122" s="4" t="s">
        <v>286</v>
      </c>
      <c r="Q122" s="4" t="s">
        <v>54</v>
      </c>
      <c r="R122" s="4" t="s">
        <v>55</v>
      </c>
      <c r="S122" s="4" t="s">
        <v>56</v>
      </c>
      <c r="T122" s="4">
        <v>6</v>
      </c>
      <c r="U122" s="4" t="s">
        <v>57</v>
      </c>
      <c r="V122" s="4">
        <v>97459</v>
      </c>
      <c r="W122" s="4" t="s">
        <v>58</v>
      </c>
      <c r="X122" s="4">
        <v>1717662512</v>
      </c>
      <c r="Y122" s="4" t="s">
        <v>71</v>
      </c>
      <c r="Z122" s="4" t="s">
        <v>55</v>
      </c>
      <c r="AA122" s="4" t="s">
        <v>116</v>
      </c>
      <c r="AB122" s="4" t="s">
        <v>61</v>
      </c>
      <c r="AC122" s="4" t="s">
        <v>73</v>
      </c>
      <c r="AD122" s="4" t="s">
        <v>62</v>
      </c>
      <c r="AE122" s="4" t="s">
        <v>55</v>
      </c>
      <c r="AF122" s="4" t="s">
        <v>55</v>
      </c>
      <c r="AG122" s="4" t="s">
        <v>287</v>
      </c>
      <c r="AH122" s="4">
        <v>0</v>
      </c>
      <c r="AI122" s="4" t="s">
        <v>250</v>
      </c>
      <c r="AJ122" s="4" t="s">
        <v>55</v>
      </c>
      <c r="AK122" s="5">
        <v>43448</v>
      </c>
      <c r="AL122" s="6">
        <v>43445</v>
      </c>
      <c r="AM122" s="6">
        <v>46081</v>
      </c>
      <c r="AN122" s="4">
        <v>10</v>
      </c>
      <c r="AO122" s="6">
        <v>47094</v>
      </c>
      <c r="AP122" s="4">
        <v>300</v>
      </c>
      <c r="AQ122" s="4">
        <v>30</v>
      </c>
      <c r="AR122" s="4" t="s">
        <v>288</v>
      </c>
      <c r="AS122" s="4" t="s">
        <v>289</v>
      </c>
      <c r="AT122" s="4" t="s">
        <v>49</v>
      </c>
    </row>
    <row r="123" spans="1:46" ht="60" x14ac:dyDescent="0.25">
      <c r="A123" s="4">
        <v>40577385</v>
      </c>
      <c r="B123" s="4" t="str">
        <f>""</f>
        <v/>
      </c>
      <c r="C123" s="4" t="str">
        <f t="shared" ref="C123:C128" si="14">"400100410002"</f>
        <v>400100410002</v>
      </c>
      <c r="D123" s="4">
        <v>40</v>
      </c>
      <c r="E123" s="4" t="s">
        <v>132</v>
      </c>
      <c r="F123" s="4" t="s">
        <v>290</v>
      </c>
      <c r="G123" s="4" t="str">
        <f>"865086053575323"</f>
        <v>865086053575323</v>
      </c>
      <c r="H123" s="4" t="str">
        <f t="shared" ref="H123:H128" si="15">"X3"</f>
        <v>X3</v>
      </c>
      <c r="I123" s="4" t="str">
        <f t="shared" ref="I123:I128" si="16">"POCO"</f>
        <v>POCO</v>
      </c>
      <c r="J123" s="4"/>
      <c r="K123" s="4"/>
      <c r="L123" s="4">
        <v>250</v>
      </c>
      <c r="M123" s="4"/>
      <c r="N123" s="4" t="s">
        <v>113</v>
      </c>
      <c r="O123" s="4" t="s">
        <v>291</v>
      </c>
      <c r="P123" s="4" t="s">
        <v>292</v>
      </c>
      <c r="Q123" s="4" t="s">
        <v>54</v>
      </c>
      <c r="R123" s="4" t="s">
        <v>55</v>
      </c>
      <c r="S123" s="4" t="s">
        <v>56</v>
      </c>
      <c r="T123" s="4">
        <v>6</v>
      </c>
      <c r="U123" s="4" t="s">
        <v>57</v>
      </c>
      <c r="V123" s="4">
        <v>97459</v>
      </c>
      <c r="W123" s="4" t="s">
        <v>58</v>
      </c>
      <c r="X123" s="4">
        <v>1717662512</v>
      </c>
      <c r="Y123" s="4" t="s">
        <v>71</v>
      </c>
      <c r="Z123" s="4" t="s">
        <v>55</v>
      </c>
      <c r="AA123" s="4" t="s">
        <v>116</v>
      </c>
      <c r="AB123" s="4" t="s">
        <v>61</v>
      </c>
      <c r="AC123" s="4" t="s">
        <v>73</v>
      </c>
      <c r="AD123" s="4" t="s">
        <v>62</v>
      </c>
      <c r="AE123" s="4" t="s">
        <v>55</v>
      </c>
      <c r="AF123" s="4" t="s">
        <v>55</v>
      </c>
      <c r="AG123" s="4" t="s">
        <v>293</v>
      </c>
      <c r="AH123" s="4">
        <v>0</v>
      </c>
      <c r="AI123" s="4" t="s">
        <v>250</v>
      </c>
      <c r="AJ123" s="4" t="s">
        <v>55</v>
      </c>
      <c r="AK123" s="5">
        <v>45968</v>
      </c>
      <c r="AL123" s="6">
        <v>45968</v>
      </c>
      <c r="AM123" s="6">
        <v>46081</v>
      </c>
      <c r="AN123" s="4">
        <v>1</v>
      </c>
      <c r="AO123" s="6">
        <v>46332</v>
      </c>
      <c r="AP123" s="4">
        <v>250</v>
      </c>
      <c r="AQ123" s="4">
        <v>25</v>
      </c>
      <c r="AR123" s="4" t="s">
        <v>294</v>
      </c>
      <c r="AS123" s="4" t="s">
        <v>295</v>
      </c>
      <c r="AT123" s="4" t="s">
        <v>49</v>
      </c>
    </row>
    <row r="124" spans="1:46" ht="60" x14ac:dyDescent="0.25">
      <c r="A124" s="4">
        <v>40577388</v>
      </c>
      <c r="B124" s="4" t="str">
        <f>""</f>
        <v/>
      </c>
      <c r="C124" s="4" t="str">
        <f t="shared" si="14"/>
        <v>400100410002</v>
      </c>
      <c r="D124" s="4">
        <v>41</v>
      </c>
      <c r="E124" s="4" t="s">
        <v>132</v>
      </c>
      <c r="F124" s="4" t="s">
        <v>290</v>
      </c>
      <c r="G124" s="4" t="str">
        <f>"860793056337560"</f>
        <v>860793056337560</v>
      </c>
      <c r="H124" s="4" t="str">
        <f t="shared" si="15"/>
        <v>X3</v>
      </c>
      <c r="I124" s="4" t="str">
        <f t="shared" si="16"/>
        <v>POCO</v>
      </c>
      <c r="J124" s="4"/>
      <c r="K124" s="4"/>
      <c r="L124" s="4">
        <v>250</v>
      </c>
      <c r="M124" s="4"/>
      <c r="N124" s="4" t="s">
        <v>113</v>
      </c>
      <c r="O124" s="4" t="s">
        <v>291</v>
      </c>
      <c r="P124" s="4" t="s">
        <v>292</v>
      </c>
      <c r="Q124" s="4" t="s">
        <v>54</v>
      </c>
      <c r="R124" s="4" t="s">
        <v>55</v>
      </c>
      <c r="S124" s="4" t="s">
        <v>56</v>
      </c>
      <c r="T124" s="4">
        <v>6</v>
      </c>
      <c r="U124" s="4" t="s">
        <v>57</v>
      </c>
      <c r="V124" s="4">
        <v>97459</v>
      </c>
      <c r="W124" s="4" t="s">
        <v>58</v>
      </c>
      <c r="X124" s="4">
        <v>1717662512</v>
      </c>
      <c r="Y124" s="4" t="s">
        <v>71</v>
      </c>
      <c r="Z124" s="4" t="s">
        <v>55</v>
      </c>
      <c r="AA124" s="4" t="s">
        <v>116</v>
      </c>
      <c r="AB124" s="4" t="s">
        <v>61</v>
      </c>
      <c r="AC124" s="4" t="s">
        <v>73</v>
      </c>
      <c r="AD124" s="4" t="s">
        <v>62</v>
      </c>
      <c r="AE124" s="4" t="s">
        <v>55</v>
      </c>
      <c r="AF124" s="4" t="s">
        <v>55</v>
      </c>
      <c r="AG124" s="4" t="s">
        <v>296</v>
      </c>
      <c r="AH124" s="4">
        <v>0</v>
      </c>
      <c r="AI124" s="4" t="s">
        <v>250</v>
      </c>
      <c r="AJ124" s="4" t="s">
        <v>55</v>
      </c>
      <c r="AK124" s="5">
        <v>45968</v>
      </c>
      <c r="AL124" s="6">
        <v>45968</v>
      </c>
      <c r="AM124" s="6">
        <v>46081</v>
      </c>
      <c r="AN124" s="4">
        <v>1</v>
      </c>
      <c r="AO124" s="6">
        <v>46332</v>
      </c>
      <c r="AP124" s="4">
        <v>250</v>
      </c>
      <c r="AQ124" s="4">
        <v>25</v>
      </c>
      <c r="AR124" s="4" t="s">
        <v>294</v>
      </c>
      <c r="AS124" s="4" t="s">
        <v>295</v>
      </c>
      <c r="AT124" s="4" t="s">
        <v>49</v>
      </c>
    </row>
    <row r="125" spans="1:46" ht="60" x14ac:dyDescent="0.25">
      <c r="A125" s="4">
        <v>40575434</v>
      </c>
      <c r="B125" s="4" t="str">
        <f>""</f>
        <v/>
      </c>
      <c r="C125" s="4" t="str">
        <f t="shared" si="14"/>
        <v>400100410002</v>
      </c>
      <c r="D125" s="4">
        <v>38</v>
      </c>
      <c r="E125" s="4" t="s">
        <v>132</v>
      </c>
      <c r="F125" s="4" t="s">
        <v>290</v>
      </c>
      <c r="G125" s="4" t="str">
        <f>"868671056270647"</f>
        <v>868671056270647</v>
      </c>
      <c r="H125" s="4" t="str">
        <f t="shared" si="15"/>
        <v>X3</v>
      </c>
      <c r="I125" s="4" t="str">
        <f t="shared" si="16"/>
        <v>POCO</v>
      </c>
      <c r="J125" s="4"/>
      <c r="K125" s="4"/>
      <c r="L125" s="4">
        <v>250</v>
      </c>
      <c r="M125" s="4"/>
      <c r="N125" s="4" t="s">
        <v>113</v>
      </c>
      <c r="O125" s="4" t="s">
        <v>291</v>
      </c>
      <c r="P125" s="4" t="s">
        <v>292</v>
      </c>
      <c r="Q125" s="4" t="s">
        <v>54</v>
      </c>
      <c r="R125" s="4" t="s">
        <v>55</v>
      </c>
      <c r="S125" s="4" t="s">
        <v>56</v>
      </c>
      <c r="T125" s="4">
        <v>6</v>
      </c>
      <c r="U125" s="4" t="s">
        <v>57</v>
      </c>
      <c r="V125" s="4">
        <v>97459</v>
      </c>
      <c r="W125" s="4" t="s">
        <v>58</v>
      </c>
      <c r="X125" s="4">
        <v>1717662512</v>
      </c>
      <c r="Y125" s="4" t="s">
        <v>71</v>
      </c>
      <c r="Z125" s="4" t="s">
        <v>55</v>
      </c>
      <c r="AA125" s="4" t="s">
        <v>116</v>
      </c>
      <c r="AB125" s="4" t="s">
        <v>61</v>
      </c>
      <c r="AC125" s="4" t="s">
        <v>73</v>
      </c>
      <c r="AD125" s="4" t="s">
        <v>62</v>
      </c>
      <c r="AE125" s="4" t="s">
        <v>55</v>
      </c>
      <c r="AF125" s="4" t="s">
        <v>55</v>
      </c>
      <c r="AG125" s="4" t="s">
        <v>297</v>
      </c>
      <c r="AH125" s="4">
        <v>0</v>
      </c>
      <c r="AI125" s="4" t="s">
        <v>250</v>
      </c>
      <c r="AJ125" s="4" t="s">
        <v>55</v>
      </c>
      <c r="AK125" s="5">
        <v>45968</v>
      </c>
      <c r="AL125" s="6">
        <v>45968</v>
      </c>
      <c r="AM125" s="6">
        <v>46081</v>
      </c>
      <c r="AN125" s="4">
        <v>1</v>
      </c>
      <c r="AO125" s="6">
        <v>46332</v>
      </c>
      <c r="AP125" s="4">
        <v>250</v>
      </c>
      <c r="AQ125" s="4">
        <v>25</v>
      </c>
      <c r="AR125" s="4" t="s">
        <v>294</v>
      </c>
      <c r="AS125" s="4" t="s">
        <v>295</v>
      </c>
      <c r="AT125" s="4" t="s">
        <v>49</v>
      </c>
    </row>
    <row r="126" spans="1:46" ht="60" x14ac:dyDescent="0.25">
      <c r="A126" s="4">
        <v>40565677</v>
      </c>
      <c r="B126" s="4" t="str">
        <f>""</f>
        <v/>
      </c>
      <c r="C126" s="4" t="str">
        <f t="shared" si="14"/>
        <v>400100410002</v>
      </c>
      <c r="D126" s="4">
        <v>30</v>
      </c>
      <c r="E126" s="4" t="s">
        <v>132</v>
      </c>
      <c r="F126" s="4" t="s">
        <v>290</v>
      </c>
      <c r="G126" s="4" t="str">
        <f>"860685051745625"</f>
        <v>860685051745625</v>
      </c>
      <c r="H126" s="4" t="str">
        <f t="shared" si="15"/>
        <v>X3</v>
      </c>
      <c r="I126" s="4" t="str">
        <f t="shared" si="16"/>
        <v>POCO</v>
      </c>
      <c r="J126" s="4"/>
      <c r="K126" s="4"/>
      <c r="L126" s="4">
        <v>250</v>
      </c>
      <c r="M126" s="4"/>
      <c r="N126" s="4" t="s">
        <v>113</v>
      </c>
      <c r="O126" s="4" t="s">
        <v>291</v>
      </c>
      <c r="P126" s="4" t="s">
        <v>292</v>
      </c>
      <c r="Q126" s="4" t="s">
        <v>54</v>
      </c>
      <c r="R126" s="4" t="s">
        <v>55</v>
      </c>
      <c r="S126" s="4" t="s">
        <v>56</v>
      </c>
      <c r="T126" s="4">
        <v>6</v>
      </c>
      <c r="U126" s="4" t="s">
        <v>57</v>
      </c>
      <c r="V126" s="4">
        <v>97459</v>
      </c>
      <c r="W126" s="4" t="s">
        <v>58</v>
      </c>
      <c r="X126" s="4">
        <v>1717662512</v>
      </c>
      <c r="Y126" s="4" t="s">
        <v>71</v>
      </c>
      <c r="Z126" s="4" t="s">
        <v>55</v>
      </c>
      <c r="AA126" s="4" t="s">
        <v>116</v>
      </c>
      <c r="AB126" s="4" t="s">
        <v>61</v>
      </c>
      <c r="AC126" s="4" t="s">
        <v>73</v>
      </c>
      <c r="AD126" s="4" t="s">
        <v>62</v>
      </c>
      <c r="AE126" s="4" t="s">
        <v>55</v>
      </c>
      <c r="AF126" s="4" t="s">
        <v>55</v>
      </c>
      <c r="AG126" s="4" t="s">
        <v>298</v>
      </c>
      <c r="AH126" s="4">
        <v>0</v>
      </c>
      <c r="AI126" s="4" t="s">
        <v>250</v>
      </c>
      <c r="AJ126" s="4" t="s">
        <v>55</v>
      </c>
      <c r="AK126" s="5">
        <v>45967</v>
      </c>
      <c r="AL126" s="6">
        <v>45967</v>
      </c>
      <c r="AM126" s="6">
        <v>46081</v>
      </c>
      <c r="AN126" s="4">
        <v>1</v>
      </c>
      <c r="AO126" s="6">
        <v>46331</v>
      </c>
      <c r="AP126" s="4">
        <v>250</v>
      </c>
      <c r="AQ126" s="4">
        <v>25</v>
      </c>
      <c r="AR126" s="4" t="s">
        <v>299</v>
      </c>
      <c r="AS126" s="4" t="s">
        <v>300</v>
      </c>
      <c r="AT126" s="4" t="s">
        <v>49</v>
      </c>
    </row>
    <row r="127" spans="1:46" ht="60" x14ac:dyDescent="0.25">
      <c r="A127" s="4">
        <v>40576115</v>
      </c>
      <c r="B127" s="4" t="str">
        <f>""</f>
        <v/>
      </c>
      <c r="C127" s="4" t="str">
        <f t="shared" si="14"/>
        <v>400100410002</v>
      </c>
      <c r="D127" s="4">
        <v>39</v>
      </c>
      <c r="E127" s="4" t="s">
        <v>132</v>
      </c>
      <c r="F127" s="4" t="s">
        <v>290</v>
      </c>
      <c r="G127" s="4" t="str">
        <f>"868671056268567"</f>
        <v>868671056268567</v>
      </c>
      <c r="H127" s="4" t="str">
        <f t="shared" si="15"/>
        <v>X3</v>
      </c>
      <c r="I127" s="4" t="str">
        <f t="shared" si="16"/>
        <v>POCO</v>
      </c>
      <c r="J127" s="4"/>
      <c r="K127" s="4"/>
      <c r="L127" s="4">
        <v>250</v>
      </c>
      <c r="M127" s="4"/>
      <c r="N127" s="4" t="s">
        <v>113</v>
      </c>
      <c r="O127" s="4" t="s">
        <v>291</v>
      </c>
      <c r="P127" s="4" t="s">
        <v>292</v>
      </c>
      <c r="Q127" s="4" t="s">
        <v>54</v>
      </c>
      <c r="R127" s="4" t="s">
        <v>55</v>
      </c>
      <c r="S127" s="4" t="s">
        <v>56</v>
      </c>
      <c r="T127" s="4">
        <v>6</v>
      </c>
      <c r="U127" s="4" t="s">
        <v>57</v>
      </c>
      <c r="V127" s="4">
        <v>97459</v>
      </c>
      <c r="W127" s="4" t="s">
        <v>58</v>
      </c>
      <c r="X127" s="4">
        <v>1717662512</v>
      </c>
      <c r="Y127" s="4" t="s">
        <v>71</v>
      </c>
      <c r="Z127" s="4" t="s">
        <v>55</v>
      </c>
      <c r="AA127" s="4" t="s">
        <v>116</v>
      </c>
      <c r="AB127" s="4" t="s">
        <v>61</v>
      </c>
      <c r="AC127" s="4" t="s">
        <v>73</v>
      </c>
      <c r="AD127" s="4" t="s">
        <v>62</v>
      </c>
      <c r="AE127" s="4" t="s">
        <v>55</v>
      </c>
      <c r="AF127" s="4" t="s">
        <v>55</v>
      </c>
      <c r="AG127" s="4" t="s">
        <v>301</v>
      </c>
      <c r="AH127" s="4">
        <v>0</v>
      </c>
      <c r="AI127" s="4" t="s">
        <v>250</v>
      </c>
      <c r="AJ127" s="4" t="s">
        <v>55</v>
      </c>
      <c r="AK127" s="5">
        <v>45968</v>
      </c>
      <c r="AL127" s="6">
        <v>45968</v>
      </c>
      <c r="AM127" s="6">
        <v>46081</v>
      </c>
      <c r="AN127" s="4">
        <v>1</v>
      </c>
      <c r="AO127" s="6">
        <v>46332</v>
      </c>
      <c r="AP127" s="4">
        <v>250</v>
      </c>
      <c r="AQ127" s="4">
        <v>25</v>
      </c>
      <c r="AR127" s="4" t="s">
        <v>294</v>
      </c>
      <c r="AS127" s="4" t="s">
        <v>295</v>
      </c>
      <c r="AT127" s="4" t="s">
        <v>49</v>
      </c>
    </row>
    <row r="128" spans="1:46" ht="60" x14ac:dyDescent="0.25">
      <c r="A128" s="4">
        <v>40565429</v>
      </c>
      <c r="B128" s="4" t="str">
        <f>""</f>
        <v/>
      </c>
      <c r="C128" s="4" t="str">
        <f t="shared" si="14"/>
        <v>400100410002</v>
      </c>
      <c r="D128" s="4">
        <v>28</v>
      </c>
      <c r="E128" s="4" t="s">
        <v>132</v>
      </c>
      <c r="F128" s="4" t="s">
        <v>290</v>
      </c>
      <c r="G128" s="4" t="str">
        <f>"40565429"</f>
        <v>40565429</v>
      </c>
      <c r="H128" s="4" t="str">
        <f t="shared" si="15"/>
        <v>X3</v>
      </c>
      <c r="I128" s="4" t="str">
        <f t="shared" si="16"/>
        <v>POCO</v>
      </c>
      <c r="J128" s="4"/>
      <c r="K128" s="4"/>
      <c r="L128" s="4">
        <v>250</v>
      </c>
      <c r="M128" s="4"/>
      <c r="N128" s="4" t="s">
        <v>113</v>
      </c>
      <c r="O128" s="4" t="s">
        <v>291</v>
      </c>
      <c r="P128" s="4" t="s">
        <v>292</v>
      </c>
      <c r="Q128" s="4" t="s">
        <v>54</v>
      </c>
      <c r="R128" s="4" t="s">
        <v>55</v>
      </c>
      <c r="S128" s="4" t="s">
        <v>56</v>
      </c>
      <c r="T128" s="4">
        <v>6</v>
      </c>
      <c r="U128" s="4" t="s">
        <v>57</v>
      </c>
      <c r="V128" s="4">
        <v>97459</v>
      </c>
      <c r="W128" s="4" t="s">
        <v>58</v>
      </c>
      <c r="X128" s="4">
        <v>1717662512</v>
      </c>
      <c r="Y128" s="4" t="s">
        <v>71</v>
      </c>
      <c r="Z128" s="4" t="s">
        <v>55</v>
      </c>
      <c r="AA128" s="4" t="s">
        <v>116</v>
      </c>
      <c r="AB128" s="4" t="s">
        <v>61</v>
      </c>
      <c r="AC128" s="4" t="s">
        <v>73</v>
      </c>
      <c r="AD128" s="4" t="s">
        <v>62</v>
      </c>
      <c r="AE128" s="4" t="s">
        <v>55</v>
      </c>
      <c r="AF128" s="4" t="s">
        <v>55</v>
      </c>
      <c r="AG128" s="4" t="s">
        <v>302</v>
      </c>
      <c r="AH128" s="4">
        <v>0</v>
      </c>
      <c r="AI128" s="4" t="s">
        <v>250</v>
      </c>
      <c r="AJ128" s="4" t="s">
        <v>55</v>
      </c>
      <c r="AK128" s="5">
        <v>45967</v>
      </c>
      <c r="AL128" s="6">
        <v>45967</v>
      </c>
      <c r="AM128" s="6">
        <v>46081</v>
      </c>
      <c r="AN128" s="4">
        <v>1</v>
      </c>
      <c r="AO128" s="6">
        <v>46331</v>
      </c>
      <c r="AP128" s="4">
        <v>250</v>
      </c>
      <c r="AQ128" s="4">
        <v>25</v>
      </c>
      <c r="AR128" s="4" t="s">
        <v>299</v>
      </c>
      <c r="AS128" s="4" t="s">
        <v>300</v>
      </c>
      <c r="AT128" s="4" t="s">
        <v>49</v>
      </c>
    </row>
    <row r="129" spans="1:46" ht="75" x14ac:dyDescent="0.25">
      <c r="A129" s="4">
        <v>41027642</v>
      </c>
      <c r="B129" s="4" t="str">
        <f>""</f>
        <v/>
      </c>
      <c r="C129" s="4" t="str">
        <f>"401101010001"</f>
        <v>401101010001</v>
      </c>
      <c r="D129" s="4">
        <v>1</v>
      </c>
      <c r="E129" s="4" t="s">
        <v>132</v>
      </c>
      <c r="F129" s="4" t="s">
        <v>303</v>
      </c>
      <c r="G129" s="4" t="str">
        <f>"41027642"</f>
        <v>41027642</v>
      </c>
      <c r="H129" s="4" t="str">
        <f>""</f>
        <v/>
      </c>
      <c r="I129" s="4" t="str">
        <f>""</f>
        <v/>
      </c>
      <c r="J129" s="4"/>
      <c r="K129" s="4"/>
      <c r="L129" s="4">
        <v>3615</v>
      </c>
      <c r="M129" s="4"/>
      <c r="N129" s="4" t="s">
        <v>51</v>
      </c>
      <c r="O129" s="4" t="s">
        <v>255</v>
      </c>
      <c r="P129" s="4" t="s">
        <v>304</v>
      </c>
      <c r="Q129" s="4" t="s">
        <v>54</v>
      </c>
      <c r="R129" s="4" t="s">
        <v>55</v>
      </c>
      <c r="S129" s="4" t="s">
        <v>56</v>
      </c>
      <c r="T129" s="4">
        <v>6</v>
      </c>
      <c r="U129" s="4" t="s">
        <v>57</v>
      </c>
      <c r="V129" s="4">
        <v>97459</v>
      </c>
      <c r="W129" s="4" t="s">
        <v>58</v>
      </c>
      <c r="X129" s="4">
        <v>1717662512</v>
      </c>
      <c r="Y129" s="4" t="s">
        <v>71</v>
      </c>
      <c r="Z129" s="4" t="s">
        <v>55</v>
      </c>
      <c r="AA129" s="4" t="s">
        <v>116</v>
      </c>
      <c r="AB129" s="4" t="s">
        <v>61</v>
      </c>
      <c r="AC129" s="4" t="s">
        <v>73</v>
      </c>
      <c r="AD129" s="4" t="s">
        <v>62</v>
      </c>
      <c r="AE129" s="4" t="s">
        <v>55</v>
      </c>
      <c r="AF129" s="4" t="s">
        <v>55</v>
      </c>
      <c r="AG129" s="4" t="s">
        <v>305</v>
      </c>
      <c r="AH129" s="4">
        <v>0</v>
      </c>
      <c r="AI129" s="4" t="s">
        <v>250</v>
      </c>
      <c r="AJ129" s="4" t="s">
        <v>55</v>
      </c>
      <c r="AK129" s="5">
        <v>46077</v>
      </c>
      <c r="AL129" s="6">
        <v>46077</v>
      </c>
      <c r="AM129" s="6">
        <v>46081</v>
      </c>
      <c r="AN129" s="4">
        <v>7</v>
      </c>
      <c r="AO129" s="6">
        <v>48631</v>
      </c>
      <c r="AP129" s="4">
        <v>3615</v>
      </c>
      <c r="AQ129" s="4" t="s">
        <v>306</v>
      </c>
      <c r="AR129" s="4" t="s">
        <v>307</v>
      </c>
      <c r="AS129" s="4" t="s">
        <v>308</v>
      </c>
      <c r="AT129" s="4" t="s">
        <v>49</v>
      </c>
    </row>
    <row r="130" spans="1:46" ht="90" x14ac:dyDescent="0.25">
      <c r="A130" s="4">
        <v>40135622</v>
      </c>
      <c r="B130" s="4" t="str">
        <f>""</f>
        <v/>
      </c>
      <c r="C130" s="4" t="str">
        <f>"700100180001"</f>
        <v>700100180001</v>
      </c>
      <c r="D130" s="4">
        <v>5</v>
      </c>
      <c r="E130" s="4" t="s">
        <v>132</v>
      </c>
      <c r="F130" s="4" t="s">
        <v>309</v>
      </c>
      <c r="G130" s="4" t="str">
        <f>"40135622"</f>
        <v>40135622</v>
      </c>
      <c r="H130" s="4" t="str">
        <f>""</f>
        <v/>
      </c>
      <c r="I130" s="4" t="str">
        <f>""</f>
        <v/>
      </c>
      <c r="J130" s="4"/>
      <c r="K130" s="4"/>
      <c r="L130" s="4">
        <v>157</v>
      </c>
      <c r="M130" s="4"/>
      <c r="N130" s="4" t="s">
        <v>310</v>
      </c>
      <c r="O130" s="4" t="s">
        <v>255</v>
      </c>
      <c r="P130" s="4" t="s">
        <v>311</v>
      </c>
      <c r="Q130" s="4" t="s">
        <v>54</v>
      </c>
      <c r="R130" s="4" t="s">
        <v>55</v>
      </c>
      <c r="S130" s="4" t="s">
        <v>56</v>
      </c>
      <c r="T130" s="4">
        <v>6</v>
      </c>
      <c r="U130" s="4" t="s">
        <v>57</v>
      </c>
      <c r="V130" s="4">
        <v>97459</v>
      </c>
      <c r="W130" s="4" t="s">
        <v>58</v>
      </c>
      <c r="X130" s="4">
        <v>1714641105</v>
      </c>
      <c r="Y130" s="4" t="s">
        <v>89</v>
      </c>
      <c r="Z130" s="4" t="s">
        <v>55</v>
      </c>
      <c r="AA130" s="4" t="s">
        <v>116</v>
      </c>
      <c r="AB130" s="4" t="s">
        <v>61</v>
      </c>
      <c r="AC130" s="4" t="s">
        <v>73</v>
      </c>
      <c r="AD130" s="4" t="s">
        <v>62</v>
      </c>
      <c r="AE130" s="4" t="s">
        <v>55</v>
      </c>
      <c r="AF130" s="4" t="s">
        <v>55</v>
      </c>
      <c r="AG130" s="4" t="s">
        <v>257</v>
      </c>
      <c r="AH130" s="4">
        <v>0</v>
      </c>
      <c r="AI130" s="4" t="s">
        <v>312</v>
      </c>
      <c r="AJ130" s="4" t="s">
        <v>55</v>
      </c>
      <c r="AK130" s="5">
        <v>45855</v>
      </c>
      <c r="AL130" s="6">
        <v>45855</v>
      </c>
      <c r="AM130" s="6">
        <v>46081</v>
      </c>
      <c r="AN130" s="4">
        <v>3</v>
      </c>
      <c r="AO130" s="6">
        <v>46949</v>
      </c>
      <c r="AP130" s="4">
        <v>157</v>
      </c>
      <c r="AQ130" s="4" t="s">
        <v>313</v>
      </c>
      <c r="AR130" s="4" t="s">
        <v>314</v>
      </c>
      <c r="AS130" s="4" t="s">
        <v>315</v>
      </c>
      <c r="AT130" s="4" t="s">
        <v>49</v>
      </c>
    </row>
    <row r="131" spans="1:46" ht="30" x14ac:dyDescent="0.25">
      <c r="A131" s="4">
        <v>35650854</v>
      </c>
      <c r="B131" s="4" t="str">
        <f>"17784915"</f>
        <v>17784915</v>
      </c>
      <c r="C131" s="4" t="str">
        <f>"700100070001"</f>
        <v>700100070001</v>
      </c>
      <c r="D131" s="4">
        <v>425297</v>
      </c>
      <c r="E131" s="4" t="s">
        <v>132</v>
      </c>
      <c r="F131" s="4" t="s">
        <v>316</v>
      </c>
      <c r="G131" s="4" t="str">
        <f>"102BYD2"</f>
        <v>102BYD2</v>
      </c>
      <c r="H131" s="4" t="str">
        <f>"102BYD2"</f>
        <v>102BYD2</v>
      </c>
      <c r="I131" s="4" t="str">
        <f>"QUASAD"</f>
        <v>QUASAD</v>
      </c>
      <c r="J131" s="4" t="s">
        <v>49</v>
      </c>
      <c r="K131" s="4"/>
      <c r="L131" s="4" t="s">
        <v>317</v>
      </c>
      <c r="M131" s="4" t="s">
        <v>49</v>
      </c>
      <c r="N131" s="4" t="s">
        <v>113</v>
      </c>
      <c r="O131" s="4" t="s">
        <v>318</v>
      </c>
      <c r="P131" s="4" t="s">
        <v>135</v>
      </c>
      <c r="Q131" s="4" t="s">
        <v>54</v>
      </c>
      <c r="R131" s="4" t="s">
        <v>55</v>
      </c>
      <c r="S131" s="4" t="s">
        <v>56</v>
      </c>
      <c r="T131" s="4">
        <v>6</v>
      </c>
      <c r="U131" s="4" t="s">
        <v>57</v>
      </c>
      <c r="V131" s="4">
        <v>97459</v>
      </c>
      <c r="W131" s="4" t="s">
        <v>58</v>
      </c>
      <c r="X131" s="4">
        <v>1714641105</v>
      </c>
      <c r="Y131" s="4" t="s">
        <v>89</v>
      </c>
      <c r="Z131" s="4" t="s">
        <v>55</v>
      </c>
      <c r="AA131" s="4" t="s">
        <v>136</v>
      </c>
      <c r="AB131" s="4" t="s">
        <v>137</v>
      </c>
      <c r="AC131" s="4" t="s">
        <v>73</v>
      </c>
      <c r="AD131" s="4" t="s">
        <v>73</v>
      </c>
      <c r="AE131" s="4" t="s">
        <v>73</v>
      </c>
      <c r="AF131" s="4" t="s">
        <v>55</v>
      </c>
      <c r="AG131" s="4" t="s">
        <v>316</v>
      </c>
      <c r="AH131" s="4">
        <v>840107</v>
      </c>
      <c r="AI131" s="4" t="s">
        <v>312</v>
      </c>
      <c r="AJ131" s="4" t="s">
        <v>55</v>
      </c>
      <c r="AK131" s="5">
        <v>44874.711168981485</v>
      </c>
      <c r="AL131" s="6">
        <v>42933</v>
      </c>
      <c r="AM131" s="6">
        <v>44027</v>
      </c>
      <c r="AN131" s="4">
        <v>3</v>
      </c>
      <c r="AO131" s="6">
        <v>44027</v>
      </c>
      <c r="AP131" s="4" t="s">
        <v>317</v>
      </c>
      <c r="AQ131" s="4" t="s">
        <v>319</v>
      </c>
      <c r="AR131" s="4" t="s">
        <v>319</v>
      </c>
      <c r="AS131" s="4" t="s">
        <v>320</v>
      </c>
      <c r="AT131" s="4" t="s">
        <v>49</v>
      </c>
    </row>
    <row r="132" spans="1:46" ht="30" x14ac:dyDescent="0.25">
      <c r="A132" s="4">
        <v>35650855</v>
      </c>
      <c r="B132" s="4" t="str">
        <f>"17784916"</f>
        <v>17784916</v>
      </c>
      <c r="C132" s="4" t="str">
        <f>"700100070001"</f>
        <v>700100070001</v>
      </c>
      <c r="D132" s="4">
        <v>425297</v>
      </c>
      <c r="E132" s="4" t="s">
        <v>132</v>
      </c>
      <c r="F132" s="4" t="s">
        <v>316</v>
      </c>
      <c r="G132" s="4" t="str">
        <f>"8T1BYD2"</f>
        <v>8T1BYD2</v>
      </c>
      <c r="H132" s="4" t="str">
        <f>"8T1BYD2"</f>
        <v>8T1BYD2</v>
      </c>
      <c r="I132" s="4" t="str">
        <f>"QUASAD"</f>
        <v>QUASAD</v>
      </c>
      <c r="J132" s="4" t="s">
        <v>49</v>
      </c>
      <c r="K132" s="4"/>
      <c r="L132" s="4" t="s">
        <v>317</v>
      </c>
      <c r="M132" s="4" t="s">
        <v>49</v>
      </c>
      <c r="N132" s="4" t="s">
        <v>113</v>
      </c>
      <c r="O132" s="4" t="s">
        <v>318</v>
      </c>
      <c r="P132" s="4" t="s">
        <v>135</v>
      </c>
      <c r="Q132" s="4" t="s">
        <v>54</v>
      </c>
      <c r="R132" s="4" t="s">
        <v>55</v>
      </c>
      <c r="S132" s="4" t="s">
        <v>56</v>
      </c>
      <c r="T132" s="4">
        <v>6</v>
      </c>
      <c r="U132" s="4" t="s">
        <v>57</v>
      </c>
      <c r="V132" s="4">
        <v>97459</v>
      </c>
      <c r="W132" s="4" t="s">
        <v>58</v>
      </c>
      <c r="X132" s="4">
        <v>1711995694</v>
      </c>
      <c r="Y132" s="4" t="s">
        <v>169</v>
      </c>
      <c r="Z132" s="4" t="s">
        <v>55</v>
      </c>
      <c r="AA132" s="4" t="s">
        <v>136</v>
      </c>
      <c r="AB132" s="4" t="s">
        <v>137</v>
      </c>
      <c r="AC132" s="4" t="s">
        <v>73</v>
      </c>
      <c r="AD132" s="4" t="s">
        <v>73</v>
      </c>
      <c r="AE132" s="4" t="s">
        <v>73</v>
      </c>
      <c r="AF132" s="4" t="s">
        <v>55</v>
      </c>
      <c r="AG132" s="4" t="s">
        <v>316</v>
      </c>
      <c r="AH132" s="4">
        <v>840107</v>
      </c>
      <c r="AI132" s="4" t="s">
        <v>312</v>
      </c>
      <c r="AJ132" s="4" t="s">
        <v>55</v>
      </c>
      <c r="AK132" s="5">
        <v>44874.711168981485</v>
      </c>
      <c r="AL132" s="6">
        <v>42933</v>
      </c>
      <c r="AM132" s="6">
        <v>44027</v>
      </c>
      <c r="AN132" s="4">
        <v>3</v>
      </c>
      <c r="AO132" s="6">
        <v>44027</v>
      </c>
      <c r="AP132" s="4" t="s">
        <v>317</v>
      </c>
      <c r="AQ132" s="4" t="s">
        <v>319</v>
      </c>
      <c r="AR132" s="4" t="s">
        <v>319</v>
      </c>
      <c r="AS132" s="4" t="s">
        <v>320</v>
      </c>
      <c r="AT132" s="4" t="s">
        <v>49</v>
      </c>
    </row>
    <row r="133" spans="1:46" ht="60" x14ac:dyDescent="0.25">
      <c r="A133" s="4">
        <v>35650870</v>
      </c>
      <c r="B133" s="4" t="str">
        <f>"19664523"</f>
        <v>19664523</v>
      </c>
      <c r="C133" s="4" t="str">
        <f>"700100060001"</f>
        <v>700100060001</v>
      </c>
      <c r="D133" s="4">
        <v>425297</v>
      </c>
      <c r="E133" s="4" t="s">
        <v>132</v>
      </c>
      <c r="F133" s="4" t="s">
        <v>321</v>
      </c>
      <c r="G133" s="4" t="str">
        <f>"CO25T03UGG77"</f>
        <v>CO25T03UGG77</v>
      </c>
      <c r="H133" s="4" t="str">
        <f>"CO25T03UGG77"</f>
        <v>CO25T03UGG77</v>
      </c>
      <c r="I133" s="4" t="str">
        <f>"APPLE SERIAL C02ST03UGG77"</f>
        <v>APPLE SERIAL C02ST03UGG77</v>
      </c>
      <c r="J133" s="4" t="s">
        <v>49</v>
      </c>
      <c r="K133" s="4"/>
      <c r="L133" s="4">
        <v>1848</v>
      </c>
      <c r="M133" s="4" t="s">
        <v>49</v>
      </c>
      <c r="N133" s="4" t="s">
        <v>322</v>
      </c>
      <c r="O133" s="4" t="s">
        <v>318</v>
      </c>
      <c r="P133" s="4" t="s">
        <v>135</v>
      </c>
      <c r="Q133" s="4" t="s">
        <v>54</v>
      </c>
      <c r="R133" s="4" t="s">
        <v>55</v>
      </c>
      <c r="S133" s="4" t="s">
        <v>56</v>
      </c>
      <c r="T133" s="4">
        <v>6</v>
      </c>
      <c r="U133" s="4" t="s">
        <v>57</v>
      </c>
      <c r="V133" s="4">
        <v>97459</v>
      </c>
      <c r="W133" s="4" t="s">
        <v>58</v>
      </c>
      <c r="X133" s="4">
        <v>1717662512</v>
      </c>
      <c r="Y133" s="4" t="s">
        <v>71</v>
      </c>
      <c r="Z133" s="4" t="s">
        <v>55</v>
      </c>
      <c r="AA133" s="4" t="s">
        <v>136</v>
      </c>
      <c r="AB133" s="4" t="s">
        <v>137</v>
      </c>
      <c r="AC133" s="4" t="s">
        <v>73</v>
      </c>
      <c r="AD133" s="4" t="s">
        <v>73</v>
      </c>
      <c r="AE133" s="4" t="s">
        <v>73</v>
      </c>
      <c r="AF133" s="4" t="s">
        <v>55</v>
      </c>
      <c r="AG133" s="4" t="s">
        <v>321</v>
      </c>
      <c r="AH133" s="4">
        <v>840107</v>
      </c>
      <c r="AI133" s="4" t="s">
        <v>312</v>
      </c>
      <c r="AJ133" s="4" t="s">
        <v>55</v>
      </c>
      <c r="AK133" s="5">
        <v>44874.711168981485</v>
      </c>
      <c r="AL133" s="6">
        <v>43059</v>
      </c>
      <c r="AM133" s="6">
        <v>44153</v>
      </c>
      <c r="AN133" s="4">
        <v>3</v>
      </c>
      <c r="AO133" s="6">
        <v>44153</v>
      </c>
      <c r="AP133" s="4">
        <v>1848</v>
      </c>
      <c r="AQ133" s="4" t="s">
        <v>323</v>
      </c>
      <c r="AR133" s="4" t="s">
        <v>323</v>
      </c>
      <c r="AS133" s="4" t="s">
        <v>324</v>
      </c>
      <c r="AT133" s="4" t="s">
        <v>49</v>
      </c>
    </row>
    <row r="134" spans="1:46" ht="75" x14ac:dyDescent="0.25">
      <c r="A134" s="4">
        <v>35650871</v>
      </c>
      <c r="B134" s="4" t="str">
        <f>"19664524"</f>
        <v>19664524</v>
      </c>
      <c r="C134" s="4" t="str">
        <f>"700100450001"</f>
        <v>700100450001</v>
      </c>
      <c r="D134" s="4">
        <v>425297</v>
      </c>
      <c r="E134" s="4" t="s">
        <v>132</v>
      </c>
      <c r="F134" s="4" t="s">
        <v>325</v>
      </c>
      <c r="G134" s="4" t="str">
        <f>"FOT646400CEG06GAB"</f>
        <v>FOT646400CEG06GAB</v>
      </c>
      <c r="H134" s="4" t="str">
        <f>"TECLADO MAGIC 2 / INALAMBRICO"</f>
        <v>TECLADO MAGIC 2 / INALAMBRICO</v>
      </c>
      <c r="I134" s="4" t="str">
        <f>"APPLE SERIAL NUMBER FOT646400CEGD6GAB"</f>
        <v>APPLE SERIAL NUMBER FOT646400CEGD6GAB</v>
      </c>
      <c r="J134" s="4" t="s">
        <v>49</v>
      </c>
      <c r="K134" s="4"/>
      <c r="L134" s="4" t="s">
        <v>326</v>
      </c>
      <c r="M134" s="4" t="s">
        <v>49</v>
      </c>
      <c r="N134" s="4" t="s">
        <v>51</v>
      </c>
      <c r="O134" s="4" t="s">
        <v>318</v>
      </c>
      <c r="P134" s="4" t="s">
        <v>135</v>
      </c>
      <c r="Q134" s="4" t="s">
        <v>54</v>
      </c>
      <c r="R134" s="4" t="s">
        <v>55</v>
      </c>
      <c r="S134" s="4" t="s">
        <v>56</v>
      </c>
      <c r="T134" s="4">
        <v>6</v>
      </c>
      <c r="U134" s="4" t="s">
        <v>57</v>
      </c>
      <c r="V134" s="4">
        <v>97459</v>
      </c>
      <c r="W134" s="4" t="s">
        <v>58</v>
      </c>
      <c r="X134" s="4">
        <v>1717662512</v>
      </c>
      <c r="Y134" s="4" t="s">
        <v>71</v>
      </c>
      <c r="Z134" s="4" t="s">
        <v>55</v>
      </c>
      <c r="AA134" s="4" t="s">
        <v>136</v>
      </c>
      <c r="AB134" s="4" t="s">
        <v>137</v>
      </c>
      <c r="AC134" s="4" t="s">
        <v>73</v>
      </c>
      <c r="AD134" s="4" t="s">
        <v>73</v>
      </c>
      <c r="AE134" s="4" t="s">
        <v>73</v>
      </c>
      <c r="AF134" s="4" t="s">
        <v>55</v>
      </c>
      <c r="AG134" s="4" t="s">
        <v>327</v>
      </c>
      <c r="AH134" s="4">
        <v>0</v>
      </c>
      <c r="AI134" s="4" t="s">
        <v>312</v>
      </c>
      <c r="AJ134" s="4" t="s">
        <v>55</v>
      </c>
      <c r="AK134" s="5">
        <v>44874.711168981485</v>
      </c>
      <c r="AL134" s="6">
        <v>43059</v>
      </c>
      <c r="AM134" s="6">
        <v>44153</v>
      </c>
      <c r="AN134" s="4">
        <v>3</v>
      </c>
      <c r="AO134" s="6">
        <v>44153</v>
      </c>
      <c r="AP134" s="4" t="s">
        <v>326</v>
      </c>
      <c r="AQ134" s="4" t="s">
        <v>328</v>
      </c>
      <c r="AR134" s="4" t="s">
        <v>328</v>
      </c>
      <c r="AS134" s="4" t="s">
        <v>329</v>
      </c>
      <c r="AT134" s="4" t="s">
        <v>49</v>
      </c>
    </row>
    <row r="135" spans="1:46" ht="60" x14ac:dyDescent="0.25">
      <c r="A135" s="4">
        <v>35650872</v>
      </c>
      <c r="B135" s="4" t="str">
        <f>"19664525"</f>
        <v>19664525</v>
      </c>
      <c r="C135" s="4" t="str">
        <f>"700100450001"</f>
        <v>700100450001</v>
      </c>
      <c r="D135" s="4">
        <v>425297</v>
      </c>
      <c r="E135" s="4" t="s">
        <v>132</v>
      </c>
      <c r="F135" s="4" t="s">
        <v>325</v>
      </c>
      <c r="G135" s="4" t="str">
        <f>"CC264761RBQGRHQAC"</f>
        <v>CC264761RBQGRHQAC</v>
      </c>
      <c r="H135" s="4" t="str">
        <f>"MAGIC 2/ COLOR BLANCO INALAMBRICO"</f>
        <v>MAGIC 2/ COLOR BLANCO INALAMBRICO</v>
      </c>
      <c r="I135" s="4" t="str">
        <f>"APPLE SERIAL CC264761RBQGRHQAC"</f>
        <v>APPLE SERIAL CC264761RBQGRHQAC</v>
      </c>
      <c r="J135" s="4" t="s">
        <v>49</v>
      </c>
      <c r="K135" s="4"/>
      <c r="L135" s="4" t="s">
        <v>330</v>
      </c>
      <c r="M135" s="4" t="s">
        <v>49</v>
      </c>
      <c r="N135" s="4" t="s">
        <v>51</v>
      </c>
      <c r="O135" s="4" t="s">
        <v>318</v>
      </c>
      <c r="P135" s="4" t="s">
        <v>135</v>
      </c>
      <c r="Q135" s="4" t="s">
        <v>54</v>
      </c>
      <c r="R135" s="4" t="s">
        <v>55</v>
      </c>
      <c r="S135" s="4" t="s">
        <v>56</v>
      </c>
      <c r="T135" s="4">
        <v>6</v>
      </c>
      <c r="U135" s="4" t="s">
        <v>57</v>
      </c>
      <c r="V135" s="4">
        <v>97459</v>
      </c>
      <c r="W135" s="4" t="s">
        <v>58</v>
      </c>
      <c r="X135" s="4">
        <v>1717662512</v>
      </c>
      <c r="Y135" s="4" t="s">
        <v>71</v>
      </c>
      <c r="Z135" s="4" t="s">
        <v>55</v>
      </c>
      <c r="AA135" s="4" t="s">
        <v>136</v>
      </c>
      <c r="AB135" s="4" t="s">
        <v>137</v>
      </c>
      <c r="AC135" s="4" t="s">
        <v>73</v>
      </c>
      <c r="AD135" s="4" t="s">
        <v>73</v>
      </c>
      <c r="AE135" s="4" t="s">
        <v>73</v>
      </c>
      <c r="AF135" s="4" t="s">
        <v>55</v>
      </c>
      <c r="AG135" s="4" t="s">
        <v>325</v>
      </c>
      <c r="AH135" s="4">
        <v>0</v>
      </c>
      <c r="AI135" s="4" t="s">
        <v>312</v>
      </c>
      <c r="AJ135" s="4" t="s">
        <v>55</v>
      </c>
      <c r="AK135" s="5">
        <v>44874.711168981485</v>
      </c>
      <c r="AL135" s="6">
        <v>43059</v>
      </c>
      <c r="AM135" s="6">
        <v>44153</v>
      </c>
      <c r="AN135" s="4">
        <v>3</v>
      </c>
      <c r="AO135" s="6">
        <v>44153</v>
      </c>
      <c r="AP135" s="4" t="s">
        <v>330</v>
      </c>
      <c r="AQ135" s="4" t="s">
        <v>331</v>
      </c>
      <c r="AR135" s="4" t="s">
        <v>331</v>
      </c>
      <c r="AS135" s="4" t="s">
        <v>332</v>
      </c>
      <c r="AT135" s="4" t="s">
        <v>49</v>
      </c>
    </row>
    <row r="136" spans="1:46" ht="60" x14ac:dyDescent="0.25">
      <c r="A136" s="4">
        <v>35650873</v>
      </c>
      <c r="B136" s="4" t="str">
        <f>"19685084"</f>
        <v>19685084</v>
      </c>
      <c r="C136" s="4" t="str">
        <f>"700100060001"</f>
        <v>700100060001</v>
      </c>
      <c r="D136" s="4">
        <v>425297</v>
      </c>
      <c r="E136" s="4" t="s">
        <v>132</v>
      </c>
      <c r="F136" s="4" t="s">
        <v>321</v>
      </c>
      <c r="G136" s="4" t="str">
        <f>"704NTTQ68817"</f>
        <v>704NTTQ68817</v>
      </c>
      <c r="H136" s="4" t="str">
        <f>"704NTTQ68817"</f>
        <v>704NTTQ68817</v>
      </c>
      <c r="I136" s="4" t="str">
        <f>"HURRICANE / CAPACIDAD 1TB"</f>
        <v>HURRICANE / CAPACIDAD 1TB</v>
      </c>
      <c r="J136" s="4" t="s">
        <v>49</v>
      </c>
      <c r="K136" s="4"/>
      <c r="L136" s="4" t="s">
        <v>333</v>
      </c>
      <c r="M136" s="4" t="s">
        <v>49</v>
      </c>
      <c r="N136" s="4" t="s">
        <v>113</v>
      </c>
      <c r="O136" s="4" t="s">
        <v>318</v>
      </c>
      <c r="P136" s="4" t="s">
        <v>135</v>
      </c>
      <c r="Q136" s="4" t="s">
        <v>54</v>
      </c>
      <c r="R136" s="4" t="s">
        <v>55</v>
      </c>
      <c r="S136" s="4" t="s">
        <v>56</v>
      </c>
      <c r="T136" s="4">
        <v>6</v>
      </c>
      <c r="U136" s="4" t="s">
        <v>57</v>
      </c>
      <c r="V136" s="4">
        <v>97459</v>
      </c>
      <c r="W136" s="4" t="s">
        <v>58</v>
      </c>
      <c r="X136" s="4">
        <v>401265012</v>
      </c>
      <c r="Y136" s="4" t="s">
        <v>130</v>
      </c>
      <c r="Z136" s="4" t="s">
        <v>55</v>
      </c>
      <c r="AA136" s="4" t="s">
        <v>136</v>
      </c>
      <c r="AB136" s="4" t="s">
        <v>137</v>
      </c>
      <c r="AC136" s="4" t="s">
        <v>73</v>
      </c>
      <c r="AD136" s="4" t="s">
        <v>73</v>
      </c>
      <c r="AE136" s="4" t="s">
        <v>73</v>
      </c>
      <c r="AF136" s="4" t="s">
        <v>55</v>
      </c>
      <c r="AG136" s="4" t="s">
        <v>321</v>
      </c>
      <c r="AH136" s="4">
        <v>840107</v>
      </c>
      <c r="AI136" s="4" t="s">
        <v>312</v>
      </c>
      <c r="AJ136" s="4" t="s">
        <v>55</v>
      </c>
      <c r="AK136" s="5">
        <v>44874.711168981485</v>
      </c>
      <c r="AL136" s="6">
        <v>43060</v>
      </c>
      <c r="AM136" s="6">
        <v>44154</v>
      </c>
      <c r="AN136" s="4">
        <v>3</v>
      </c>
      <c r="AO136" s="6">
        <v>44154</v>
      </c>
      <c r="AP136" s="4" t="s">
        <v>333</v>
      </c>
      <c r="AQ136" s="4" t="s">
        <v>334</v>
      </c>
      <c r="AR136" s="4" t="s">
        <v>334</v>
      </c>
      <c r="AS136" s="4" t="s">
        <v>335</v>
      </c>
      <c r="AT136" s="4" t="s">
        <v>49</v>
      </c>
    </row>
    <row r="137" spans="1:46" ht="60" x14ac:dyDescent="0.25">
      <c r="A137" s="4">
        <v>35650874</v>
      </c>
      <c r="B137" s="4" t="str">
        <f>"19685085"</f>
        <v>19685085</v>
      </c>
      <c r="C137" s="4" t="str">
        <f>"700100060001"</f>
        <v>700100060001</v>
      </c>
      <c r="D137" s="4">
        <v>425297</v>
      </c>
      <c r="E137" s="4" t="s">
        <v>132</v>
      </c>
      <c r="F137" s="4" t="s">
        <v>321</v>
      </c>
      <c r="G137" s="4" t="str">
        <f>"704NTTQ68836"</f>
        <v>704NTTQ68836</v>
      </c>
      <c r="H137" s="4" t="str">
        <f>"704NTTQ68836"</f>
        <v>704NTTQ68836</v>
      </c>
      <c r="I137" s="4" t="str">
        <f>"HURRICANE / CAPACIDAD 1TB"</f>
        <v>HURRICANE / CAPACIDAD 1TB</v>
      </c>
      <c r="J137" s="4" t="s">
        <v>49</v>
      </c>
      <c r="K137" s="4"/>
      <c r="L137" s="4" t="s">
        <v>333</v>
      </c>
      <c r="M137" s="4" t="s">
        <v>49</v>
      </c>
      <c r="N137" s="4" t="s">
        <v>113</v>
      </c>
      <c r="O137" s="4" t="s">
        <v>318</v>
      </c>
      <c r="P137" s="4" t="s">
        <v>135</v>
      </c>
      <c r="Q137" s="4" t="s">
        <v>54</v>
      </c>
      <c r="R137" s="4" t="s">
        <v>55</v>
      </c>
      <c r="S137" s="4" t="s">
        <v>56</v>
      </c>
      <c r="T137" s="4">
        <v>6</v>
      </c>
      <c r="U137" s="4" t="s">
        <v>57</v>
      </c>
      <c r="V137" s="4">
        <v>97459</v>
      </c>
      <c r="W137" s="4" t="s">
        <v>58</v>
      </c>
      <c r="X137" s="4">
        <v>1717662512</v>
      </c>
      <c r="Y137" s="4" t="s">
        <v>71</v>
      </c>
      <c r="Z137" s="4" t="s">
        <v>55</v>
      </c>
      <c r="AA137" s="4" t="s">
        <v>136</v>
      </c>
      <c r="AB137" s="4" t="s">
        <v>137</v>
      </c>
      <c r="AC137" s="4" t="s">
        <v>73</v>
      </c>
      <c r="AD137" s="4" t="s">
        <v>73</v>
      </c>
      <c r="AE137" s="4" t="s">
        <v>73</v>
      </c>
      <c r="AF137" s="4" t="s">
        <v>55</v>
      </c>
      <c r="AG137" s="4" t="s">
        <v>321</v>
      </c>
      <c r="AH137" s="4">
        <v>840107</v>
      </c>
      <c r="AI137" s="4" t="s">
        <v>312</v>
      </c>
      <c r="AJ137" s="4" t="s">
        <v>55</v>
      </c>
      <c r="AK137" s="5">
        <v>44874.711168981485</v>
      </c>
      <c r="AL137" s="6">
        <v>43060</v>
      </c>
      <c r="AM137" s="6">
        <v>44154</v>
      </c>
      <c r="AN137" s="4">
        <v>3</v>
      </c>
      <c r="AO137" s="6">
        <v>44154</v>
      </c>
      <c r="AP137" s="4" t="s">
        <v>333</v>
      </c>
      <c r="AQ137" s="4" t="s">
        <v>334</v>
      </c>
      <c r="AR137" s="4" t="s">
        <v>334</v>
      </c>
      <c r="AS137" s="4" t="s">
        <v>335</v>
      </c>
      <c r="AT137" s="4" t="s">
        <v>49</v>
      </c>
    </row>
    <row r="138" spans="1:46" ht="60" x14ac:dyDescent="0.25">
      <c r="A138" s="4">
        <v>35650875</v>
      </c>
      <c r="B138" s="4" t="str">
        <f>"19685086"</f>
        <v>19685086</v>
      </c>
      <c r="C138" s="4" t="str">
        <f>"700100060001"</f>
        <v>700100060001</v>
      </c>
      <c r="D138" s="4">
        <v>425297</v>
      </c>
      <c r="E138" s="4" t="s">
        <v>132</v>
      </c>
      <c r="F138" s="4" t="s">
        <v>321</v>
      </c>
      <c r="G138" s="4" t="str">
        <f>"704NTTQ68822"</f>
        <v>704NTTQ68822</v>
      </c>
      <c r="H138" s="4" t="str">
        <f>"704NTTQ68822"</f>
        <v>704NTTQ68822</v>
      </c>
      <c r="I138" s="4" t="str">
        <f>"HURRICANE / CAPACIDAD 1TB"</f>
        <v>HURRICANE / CAPACIDAD 1TB</v>
      </c>
      <c r="J138" s="4" t="s">
        <v>49</v>
      </c>
      <c r="K138" s="4"/>
      <c r="L138" s="4" t="s">
        <v>333</v>
      </c>
      <c r="M138" s="4" t="s">
        <v>49</v>
      </c>
      <c r="N138" s="4" t="s">
        <v>113</v>
      </c>
      <c r="O138" s="4" t="s">
        <v>318</v>
      </c>
      <c r="P138" s="4" t="s">
        <v>135</v>
      </c>
      <c r="Q138" s="4" t="s">
        <v>54</v>
      </c>
      <c r="R138" s="4" t="s">
        <v>55</v>
      </c>
      <c r="S138" s="4" t="s">
        <v>56</v>
      </c>
      <c r="T138" s="4">
        <v>6</v>
      </c>
      <c r="U138" s="4" t="s">
        <v>57</v>
      </c>
      <c r="V138" s="4">
        <v>97459</v>
      </c>
      <c r="W138" s="4" t="s">
        <v>58</v>
      </c>
      <c r="X138" s="4">
        <v>1717662512</v>
      </c>
      <c r="Y138" s="4" t="s">
        <v>71</v>
      </c>
      <c r="Z138" s="4" t="s">
        <v>55</v>
      </c>
      <c r="AA138" s="4" t="s">
        <v>136</v>
      </c>
      <c r="AB138" s="4" t="s">
        <v>137</v>
      </c>
      <c r="AC138" s="4" t="s">
        <v>73</v>
      </c>
      <c r="AD138" s="4" t="s">
        <v>73</v>
      </c>
      <c r="AE138" s="4" t="s">
        <v>73</v>
      </c>
      <c r="AF138" s="4" t="s">
        <v>55</v>
      </c>
      <c r="AG138" s="4" t="s">
        <v>321</v>
      </c>
      <c r="AH138" s="4">
        <v>840107</v>
      </c>
      <c r="AI138" s="4" t="s">
        <v>312</v>
      </c>
      <c r="AJ138" s="4" t="s">
        <v>55</v>
      </c>
      <c r="AK138" s="5">
        <v>44874.711168981485</v>
      </c>
      <c r="AL138" s="6">
        <v>43060</v>
      </c>
      <c r="AM138" s="6">
        <v>44154</v>
      </c>
      <c r="AN138" s="4">
        <v>3</v>
      </c>
      <c r="AO138" s="6">
        <v>44154</v>
      </c>
      <c r="AP138" s="4" t="s">
        <v>333</v>
      </c>
      <c r="AQ138" s="4" t="s">
        <v>334</v>
      </c>
      <c r="AR138" s="4" t="s">
        <v>334</v>
      </c>
      <c r="AS138" s="4" t="s">
        <v>335</v>
      </c>
      <c r="AT138" s="4" t="s">
        <v>49</v>
      </c>
    </row>
    <row r="139" spans="1:46" ht="90" x14ac:dyDescent="0.25">
      <c r="A139" s="4">
        <v>35650876</v>
      </c>
      <c r="B139" s="4" t="str">
        <f>"19971129"</f>
        <v>19971129</v>
      </c>
      <c r="C139" s="4" t="str">
        <f>"700100490001"</f>
        <v>700100490001</v>
      </c>
      <c r="D139" s="4">
        <v>425297</v>
      </c>
      <c r="E139" s="4" t="s">
        <v>132</v>
      </c>
      <c r="F139" s="4" t="s">
        <v>336</v>
      </c>
      <c r="G139" s="4" t="str">
        <f>"755426-0010"</f>
        <v>755426-0010</v>
      </c>
      <c r="H139" s="4" t="str">
        <f>"755426-0010"</f>
        <v>755426-0010</v>
      </c>
      <c r="I139" s="4" t="str">
        <f>"BOSE SOUNDLINK REVOLVE BLUTOOTH 360 GRADOS / ESTEREO"</f>
        <v>BOSE SOUNDLINK REVOLVE BLUTOOTH 360 GRADOS / ESTEREO</v>
      </c>
      <c r="J139" s="4" t="s">
        <v>49</v>
      </c>
      <c r="K139" s="4"/>
      <c r="L139" s="4" t="s">
        <v>337</v>
      </c>
      <c r="M139" s="4" t="s">
        <v>49</v>
      </c>
      <c r="N139" s="4" t="s">
        <v>338</v>
      </c>
      <c r="O139" s="4" t="s">
        <v>318</v>
      </c>
      <c r="P139" s="4" t="s">
        <v>135</v>
      </c>
      <c r="Q139" s="4" t="s">
        <v>54</v>
      </c>
      <c r="R139" s="4" t="s">
        <v>55</v>
      </c>
      <c r="S139" s="4" t="s">
        <v>56</v>
      </c>
      <c r="T139" s="4">
        <v>6</v>
      </c>
      <c r="U139" s="4" t="s">
        <v>57</v>
      </c>
      <c r="V139" s="4">
        <v>97459</v>
      </c>
      <c r="W139" s="4" t="s">
        <v>58</v>
      </c>
      <c r="X139" s="4">
        <v>1719443135</v>
      </c>
      <c r="Y139" s="4" t="s">
        <v>109</v>
      </c>
      <c r="Z139" s="4" t="s">
        <v>55</v>
      </c>
      <c r="AA139" s="4" t="s">
        <v>136</v>
      </c>
      <c r="AB139" s="4" t="s">
        <v>137</v>
      </c>
      <c r="AC139" s="4" t="s">
        <v>73</v>
      </c>
      <c r="AD139" s="4" t="s">
        <v>73</v>
      </c>
      <c r="AE139" s="4" t="s">
        <v>73</v>
      </c>
      <c r="AF139" s="4" t="s">
        <v>55</v>
      </c>
      <c r="AG139" s="4" t="s">
        <v>336</v>
      </c>
      <c r="AH139" s="4">
        <v>840107</v>
      </c>
      <c r="AI139" s="4" t="s">
        <v>312</v>
      </c>
      <c r="AJ139" s="4" t="s">
        <v>55</v>
      </c>
      <c r="AK139" s="5">
        <v>44874.711168981485</v>
      </c>
      <c r="AL139" s="6">
        <v>43081</v>
      </c>
      <c r="AM139" s="6">
        <v>44175</v>
      </c>
      <c r="AN139" s="4">
        <v>3</v>
      </c>
      <c r="AO139" s="6">
        <v>44175</v>
      </c>
      <c r="AP139" s="4" t="s">
        <v>337</v>
      </c>
      <c r="AQ139" s="4" t="s">
        <v>339</v>
      </c>
      <c r="AR139" s="4" t="s">
        <v>339</v>
      </c>
      <c r="AS139" s="4" t="s">
        <v>340</v>
      </c>
      <c r="AT139" s="4" t="s">
        <v>49</v>
      </c>
    </row>
    <row r="140" spans="1:46" ht="60" x14ac:dyDescent="0.25">
      <c r="A140" s="4">
        <v>35650877</v>
      </c>
      <c r="B140" s="4" t="str">
        <f>"19971130"</f>
        <v>19971130</v>
      </c>
      <c r="C140" s="4" t="str">
        <f>"700100160001"</f>
        <v>700100160001</v>
      </c>
      <c r="D140" s="4">
        <v>425297</v>
      </c>
      <c r="E140" s="4" t="s">
        <v>132</v>
      </c>
      <c r="F140" s="4" t="s">
        <v>341</v>
      </c>
      <c r="G140" s="4" t="str">
        <f>"NL 35DEKP"</f>
        <v>NL 35DEKP</v>
      </c>
      <c r="H140" s="4" t="str">
        <f>"NL 35DEKP"</f>
        <v>NL 35DEKP</v>
      </c>
      <c r="I140" s="4" t="str">
        <f>"LACIE RUGGED USB 3.0 / 2TB"</f>
        <v>LACIE RUGGED USB 3.0 / 2TB</v>
      </c>
      <c r="J140" s="4" t="s">
        <v>49</v>
      </c>
      <c r="K140" s="4"/>
      <c r="L140" s="4" t="s">
        <v>342</v>
      </c>
      <c r="M140" s="4" t="s">
        <v>49</v>
      </c>
      <c r="N140" s="4" t="s">
        <v>343</v>
      </c>
      <c r="O140" s="4" t="s">
        <v>318</v>
      </c>
      <c r="P140" s="4" t="s">
        <v>135</v>
      </c>
      <c r="Q140" s="4" t="s">
        <v>54</v>
      </c>
      <c r="R140" s="4" t="s">
        <v>55</v>
      </c>
      <c r="S140" s="4" t="s">
        <v>56</v>
      </c>
      <c r="T140" s="4">
        <v>6</v>
      </c>
      <c r="U140" s="4" t="s">
        <v>57</v>
      </c>
      <c r="V140" s="4">
        <v>97459</v>
      </c>
      <c r="W140" s="4" t="s">
        <v>58</v>
      </c>
      <c r="X140" s="4">
        <v>1719443135</v>
      </c>
      <c r="Y140" s="4" t="s">
        <v>109</v>
      </c>
      <c r="Z140" s="4" t="s">
        <v>55</v>
      </c>
      <c r="AA140" s="4" t="s">
        <v>136</v>
      </c>
      <c r="AB140" s="4" t="s">
        <v>137</v>
      </c>
      <c r="AC140" s="4" t="s">
        <v>73</v>
      </c>
      <c r="AD140" s="4" t="s">
        <v>73</v>
      </c>
      <c r="AE140" s="4" t="s">
        <v>73</v>
      </c>
      <c r="AF140" s="4" t="s">
        <v>55</v>
      </c>
      <c r="AG140" s="4" t="s">
        <v>341</v>
      </c>
      <c r="AH140" s="4">
        <v>840107</v>
      </c>
      <c r="AI140" s="4" t="s">
        <v>312</v>
      </c>
      <c r="AJ140" s="4" t="s">
        <v>55</v>
      </c>
      <c r="AK140" s="5">
        <v>44874.711168981485</v>
      </c>
      <c r="AL140" s="6">
        <v>43081</v>
      </c>
      <c r="AM140" s="6">
        <v>44175</v>
      </c>
      <c r="AN140" s="4">
        <v>3</v>
      </c>
      <c r="AO140" s="6">
        <v>44175</v>
      </c>
      <c r="AP140" s="4" t="s">
        <v>342</v>
      </c>
      <c r="AQ140" s="4" t="s">
        <v>344</v>
      </c>
      <c r="AR140" s="4" t="s">
        <v>344</v>
      </c>
      <c r="AS140" s="4" t="s">
        <v>345</v>
      </c>
      <c r="AT140" s="4" t="s">
        <v>49</v>
      </c>
    </row>
    <row r="141" spans="1:46" ht="60" x14ac:dyDescent="0.25">
      <c r="A141" s="4">
        <v>35650878</v>
      </c>
      <c r="B141" s="4" t="str">
        <f>"19971131"</f>
        <v>19971131</v>
      </c>
      <c r="C141" s="4" t="str">
        <f>"700100160001"</f>
        <v>700100160001</v>
      </c>
      <c r="D141" s="4">
        <v>425297</v>
      </c>
      <c r="E141" s="4" t="s">
        <v>132</v>
      </c>
      <c r="F141" s="4" t="s">
        <v>341</v>
      </c>
      <c r="G141" s="4" t="str">
        <f>"NL35DB8E"</f>
        <v>NL35DB8E</v>
      </c>
      <c r="H141" s="4" t="str">
        <f>"NL35DB8E"</f>
        <v>NL35DB8E</v>
      </c>
      <c r="I141" s="4" t="str">
        <f>"LACIE RUGGED USB 3.0 / 2TB"</f>
        <v>LACIE RUGGED USB 3.0 / 2TB</v>
      </c>
      <c r="J141" s="4" t="s">
        <v>49</v>
      </c>
      <c r="K141" s="4"/>
      <c r="L141" s="4" t="s">
        <v>342</v>
      </c>
      <c r="M141" s="4" t="s">
        <v>49</v>
      </c>
      <c r="N141" s="4" t="s">
        <v>343</v>
      </c>
      <c r="O141" s="4" t="s">
        <v>318</v>
      </c>
      <c r="P141" s="4" t="s">
        <v>135</v>
      </c>
      <c r="Q141" s="4" t="s">
        <v>54</v>
      </c>
      <c r="R141" s="4" t="s">
        <v>55</v>
      </c>
      <c r="S141" s="4" t="s">
        <v>56</v>
      </c>
      <c r="T141" s="4">
        <v>6</v>
      </c>
      <c r="U141" s="4" t="s">
        <v>57</v>
      </c>
      <c r="V141" s="4">
        <v>97459</v>
      </c>
      <c r="W141" s="4" t="s">
        <v>58</v>
      </c>
      <c r="X141" s="4">
        <v>1717662512</v>
      </c>
      <c r="Y141" s="4" t="s">
        <v>71</v>
      </c>
      <c r="Z141" s="4" t="s">
        <v>55</v>
      </c>
      <c r="AA141" s="4" t="s">
        <v>136</v>
      </c>
      <c r="AB141" s="4" t="s">
        <v>137</v>
      </c>
      <c r="AC141" s="4" t="s">
        <v>73</v>
      </c>
      <c r="AD141" s="4" t="s">
        <v>73</v>
      </c>
      <c r="AE141" s="4" t="s">
        <v>73</v>
      </c>
      <c r="AF141" s="4" t="s">
        <v>55</v>
      </c>
      <c r="AG141" s="4" t="s">
        <v>341</v>
      </c>
      <c r="AH141" s="4">
        <v>840107</v>
      </c>
      <c r="AI141" s="4" t="s">
        <v>312</v>
      </c>
      <c r="AJ141" s="4" t="s">
        <v>55</v>
      </c>
      <c r="AK141" s="5">
        <v>44874.711168981485</v>
      </c>
      <c r="AL141" s="6">
        <v>43081</v>
      </c>
      <c r="AM141" s="6">
        <v>44175</v>
      </c>
      <c r="AN141" s="4">
        <v>3</v>
      </c>
      <c r="AO141" s="6">
        <v>44175</v>
      </c>
      <c r="AP141" s="4" t="s">
        <v>342</v>
      </c>
      <c r="AQ141" s="4" t="s">
        <v>344</v>
      </c>
      <c r="AR141" s="4" t="s">
        <v>344</v>
      </c>
      <c r="AS141" s="4" t="s">
        <v>345</v>
      </c>
      <c r="AT141" s="4" t="s">
        <v>49</v>
      </c>
    </row>
    <row r="142" spans="1:46" ht="45" x14ac:dyDescent="0.25">
      <c r="A142" s="4">
        <v>35650879</v>
      </c>
      <c r="B142" s="4" t="str">
        <f>"20135086"</f>
        <v>20135086</v>
      </c>
      <c r="C142" s="4" t="str">
        <f>"700100060002"</f>
        <v>700100060002</v>
      </c>
      <c r="D142" s="4">
        <v>425297</v>
      </c>
      <c r="E142" s="4" t="s">
        <v>132</v>
      </c>
      <c r="F142" s="4" t="s">
        <v>346</v>
      </c>
      <c r="G142" s="4" t="str">
        <f>"708NTDV70570"</f>
        <v>708NTDV70570</v>
      </c>
      <c r="H142" s="4" t="str">
        <f>"708NTDV70570"</f>
        <v>708NTDV70570</v>
      </c>
      <c r="I142" s="4" t="str">
        <f>"SPEEDMIND /MRAM 8GB 2 MODULOS"</f>
        <v>SPEEDMIND /MRAM 8GB 2 MODULOS</v>
      </c>
      <c r="J142" s="4" t="s">
        <v>49</v>
      </c>
      <c r="K142" s="4"/>
      <c r="L142" s="4" t="s">
        <v>347</v>
      </c>
      <c r="M142" s="4" t="s">
        <v>49</v>
      </c>
      <c r="N142" s="4" t="s">
        <v>113</v>
      </c>
      <c r="O142" s="4" t="s">
        <v>318</v>
      </c>
      <c r="P142" s="4" t="s">
        <v>135</v>
      </c>
      <c r="Q142" s="4" t="s">
        <v>54</v>
      </c>
      <c r="R142" s="4" t="s">
        <v>55</v>
      </c>
      <c r="S142" s="4" t="s">
        <v>56</v>
      </c>
      <c r="T142" s="4">
        <v>6</v>
      </c>
      <c r="U142" s="4" t="s">
        <v>57</v>
      </c>
      <c r="V142" s="4">
        <v>97459</v>
      </c>
      <c r="W142" s="4" t="s">
        <v>58</v>
      </c>
      <c r="X142" s="4">
        <v>1716349814</v>
      </c>
      <c r="Y142" s="4" t="s">
        <v>86</v>
      </c>
      <c r="Z142" s="4" t="s">
        <v>55</v>
      </c>
      <c r="AA142" s="4" t="s">
        <v>136</v>
      </c>
      <c r="AB142" s="4" t="s">
        <v>137</v>
      </c>
      <c r="AC142" s="4" t="s">
        <v>73</v>
      </c>
      <c r="AD142" s="4" t="s">
        <v>73</v>
      </c>
      <c r="AE142" s="4" t="s">
        <v>73</v>
      </c>
      <c r="AF142" s="4" t="s">
        <v>55</v>
      </c>
      <c r="AG142" s="4" t="s">
        <v>346</v>
      </c>
      <c r="AH142" s="4">
        <v>840107</v>
      </c>
      <c r="AI142" s="4" t="s">
        <v>312</v>
      </c>
      <c r="AJ142" s="4" t="s">
        <v>55</v>
      </c>
      <c r="AK142" s="5">
        <v>44874.711168981485</v>
      </c>
      <c r="AL142" s="6">
        <v>43083</v>
      </c>
      <c r="AM142" s="6">
        <v>44177</v>
      </c>
      <c r="AN142" s="4">
        <v>3</v>
      </c>
      <c r="AO142" s="6">
        <v>44177</v>
      </c>
      <c r="AP142" s="4" t="s">
        <v>347</v>
      </c>
      <c r="AQ142" s="4" t="s">
        <v>348</v>
      </c>
      <c r="AR142" s="4" t="s">
        <v>348</v>
      </c>
      <c r="AS142" s="4" t="s">
        <v>349</v>
      </c>
      <c r="AT142" s="4" t="s">
        <v>49</v>
      </c>
    </row>
    <row r="143" spans="1:46" ht="30" x14ac:dyDescent="0.25">
      <c r="A143" s="4">
        <v>35650939</v>
      </c>
      <c r="B143" s="4" t="str">
        <f>"25953620"</f>
        <v>25953620</v>
      </c>
      <c r="C143" s="4" t="str">
        <f>"700100060001"</f>
        <v>700100060001</v>
      </c>
      <c r="D143" s="4">
        <v>425297</v>
      </c>
      <c r="E143" s="4" t="s">
        <v>132</v>
      </c>
      <c r="F143" s="4" t="s">
        <v>321</v>
      </c>
      <c r="G143" s="4" t="str">
        <f>"AQPI71A002089"</f>
        <v>AQPI71A002089</v>
      </c>
      <c r="H143" s="4" t="str">
        <f>"AQPI71A002089"</f>
        <v>AQPI71A002089</v>
      </c>
      <c r="I143" s="4" t="str">
        <f>"INTEL CORE I7-7700"</f>
        <v>INTEL CORE I7-7700</v>
      </c>
      <c r="J143" s="4" t="s">
        <v>49</v>
      </c>
      <c r="K143" s="4"/>
      <c r="L143" s="4" t="s">
        <v>350</v>
      </c>
      <c r="M143" s="4" t="s">
        <v>49</v>
      </c>
      <c r="N143" s="4" t="s">
        <v>113</v>
      </c>
      <c r="O143" s="4" t="s">
        <v>318</v>
      </c>
      <c r="P143" s="4" t="s">
        <v>135</v>
      </c>
      <c r="Q143" s="4" t="s">
        <v>54</v>
      </c>
      <c r="R143" s="4" t="s">
        <v>55</v>
      </c>
      <c r="S143" s="4" t="s">
        <v>56</v>
      </c>
      <c r="T143" s="4">
        <v>6</v>
      </c>
      <c r="U143" s="4" t="s">
        <v>57</v>
      </c>
      <c r="V143" s="4">
        <v>97459</v>
      </c>
      <c r="W143" s="4" t="s">
        <v>58</v>
      </c>
      <c r="X143" s="4">
        <v>1717662512</v>
      </c>
      <c r="Y143" s="4" t="s">
        <v>71</v>
      </c>
      <c r="Z143" s="4" t="s">
        <v>55</v>
      </c>
      <c r="AA143" s="4" t="s">
        <v>136</v>
      </c>
      <c r="AB143" s="4" t="s">
        <v>137</v>
      </c>
      <c r="AC143" s="4" t="s">
        <v>73</v>
      </c>
      <c r="AD143" s="4" t="s">
        <v>73</v>
      </c>
      <c r="AE143" s="4" t="s">
        <v>73</v>
      </c>
      <c r="AF143" s="4" t="s">
        <v>55</v>
      </c>
      <c r="AG143" s="4" t="s">
        <v>321</v>
      </c>
      <c r="AH143" s="4">
        <v>840107</v>
      </c>
      <c r="AI143" s="4" t="s">
        <v>312</v>
      </c>
      <c r="AJ143" s="4" t="s">
        <v>55</v>
      </c>
      <c r="AK143" s="5">
        <v>44874.711180555554</v>
      </c>
      <c r="AL143" s="6">
        <v>43430</v>
      </c>
      <c r="AM143" s="6">
        <v>44524</v>
      </c>
      <c r="AN143" s="4">
        <v>3</v>
      </c>
      <c r="AO143" s="6">
        <v>44524</v>
      </c>
      <c r="AP143" s="4" t="s">
        <v>350</v>
      </c>
      <c r="AQ143" s="4">
        <v>114</v>
      </c>
      <c r="AR143" s="4">
        <v>114</v>
      </c>
      <c r="AS143" s="4" t="s">
        <v>351</v>
      </c>
      <c r="AT143" s="4" t="s">
        <v>49</v>
      </c>
    </row>
    <row r="144" spans="1:46" ht="30" x14ac:dyDescent="0.25">
      <c r="A144" s="4">
        <v>35650940</v>
      </c>
      <c r="B144" s="4" t="str">
        <f>"25953621"</f>
        <v>25953621</v>
      </c>
      <c r="C144" s="4" t="str">
        <f>"700100060001"</f>
        <v>700100060001</v>
      </c>
      <c r="D144" s="4">
        <v>425297</v>
      </c>
      <c r="E144" s="4" t="s">
        <v>132</v>
      </c>
      <c r="F144" s="4" t="s">
        <v>321</v>
      </c>
      <c r="G144" s="4" t="str">
        <f>"AQPI71A002274"</f>
        <v>AQPI71A002274</v>
      </c>
      <c r="H144" s="4" t="str">
        <f>"AQPI71A002274"</f>
        <v>AQPI71A002274</v>
      </c>
      <c r="I144" s="4" t="str">
        <f>"INTEL CORE I7-7700"</f>
        <v>INTEL CORE I7-7700</v>
      </c>
      <c r="J144" s="4" t="s">
        <v>49</v>
      </c>
      <c r="K144" s="4"/>
      <c r="L144" s="4" t="s">
        <v>352</v>
      </c>
      <c r="M144" s="4" t="s">
        <v>49</v>
      </c>
      <c r="N144" s="4" t="s">
        <v>113</v>
      </c>
      <c r="O144" s="4" t="s">
        <v>318</v>
      </c>
      <c r="P144" s="4" t="s">
        <v>135</v>
      </c>
      <c r="Q144" s="4" t="s">
        <v>54</v>
      </c>
      <c r="R144" s="4" t="s">
        <v>55</v>
      </c>
      <c r="S144" s="4" t="s">
        <v>56</v>
      </c>
      <c r="T144" s="4">
        <v>6</v>
      </c>
      <c r="U144" s="4" t="s">
        <v>57</v>
      </c>
      <c r="V144" s="4">
        <v>97459</v>
      </c>
      <c r="W144" s="4" t="s">
        <v>58</v>
      </c>
      <c r="X144" s="4">
        <v>1717662512</v>
      </c>
      <c r="Y144" s="4" t="s">
        <v>71</v>
      </c>
      <c r="Z144" s="4" t="s">
        <v>55</v>
      </c>
      <c r="AA144" s="4" t="s">
        <v>136</v>
      </c>
      <c r="AB144" s="4" t="s">
        <v>137</v>
      </c>
      <c r="AC144" s="4" t="s">
        <v>73</v>
      </c>
      <c r="AD144" s="4" t="s">
        <v>73</v>
      </c>
      <c r="AE144" s="4" t="s">
        <v>73</v>
      </c>
      <c r="AF144" s="4" t="s">
        <v>55</v>
      </c>
      <c r="AG144" s="4" t="s">
        <v>321</v>
      </c>
      <c r="AH144" s="4">
        <v>840107</v>
      </c>
      <c r="AI144" s="4" t="s">
        <v>312</v>
      </c>
      <c r="AJ144" s="4" t="s">
        <v>55</v>
      </c>
      <c r="AK144" s="5">
        <v>44874.711180555554</v>
      </c>
      <c r="AL144" s="6">
        <v>43430</v>
      </c>
      <c r="AM144" s="6">
        <v>44524</v>
      </c>
      <c r="AN144" s="4">
        <v>3</v>
      </c>
      <c r="AO144" s="6">
        <v>44524</v>
      </c>
      <c r="AP144" s="4" t="s">
        <v>352</v>
      </c>
      <c r="AQ144" s="4" t="s">
        <v>353</v>
      </c>
      <c r="AR144" s="4" t="s">
        <v>353</v>
      </c>
      <c r="AS144" s="4" t="s">
        <v>351</v>
      </c>
      <c r="AT144" s="4" t="s">
        <v>49</v>
      </c>
    </row>
    <row r="145" spans="1:46" ht="30" x14ac:dyDescent="0.25">
      <c r="A145" s="4">
        <v>35650941</v>
      </c>
      <c r="B145" s="4" t="str">
        <f>"25953622"</f>
        <v>25953622</v>
      </c>
      <c r="C145" s="4" t="str">
        <f>"700100060001"</f>
        <v>700100060001</v>
      </c>
      <c r="D145" s="4">
        <v>425297</v>
      </c>
      <c r="E145" s="4" t="s">
        <v>132</v>
      </c>
      <c r="F145" s="4" t="s">
        <v>321</v>
      </c>
      <c r="G145" s="4" t="str">
        <f>"AQPI71A002433"</f>
        <v>AQPI71A002433</v>
      </c>
      <c r="H145" s="4" t="str">
        <f>"AQPI71A002433"</f>
        <v>AQPI71A002433</v>
      </c>
      <c r="I145" s="4" t="str">
        <f>"INTEL CORE I7-7700"</f>
        <v>INTEL CORE I7-7700</v>
      </c>
      <c r="J145" s="4" t="s">
        <v>49</v>
      </c>
      <c r="K145" s="4"/>
      <c r="L145" s="4" t="s">
        <v>352</v>
      </c>
      <c r="M145" s="4" t="s">
        <v>49</v>
      </c>
      <c r="N145" s="4" t="s">
        <v>113</v>
      </c>
      <c r="O145" s="4" t="s">
        <v>318</v>
      </c>
      <c r="P145" s="4" t="s">
        <v>135</v>
      </c>
      <c r="Q145" s="4" t="s">
        <v>54</v>
      </c>
      <c r="R145" s="4" t="s">
        <v>55</v>
      </c>
      <c r="S145" s="4" t="s">
        <v>56</v>
      </c>
      <c r="T145" s="4">
        <v>6</v>
      </c>
      <c r="U145" s="4" t="s">
        <v>57</v>
      </c>
      <c r="V145" s="4">
        <v>97459</v>
      </c>
      <c r="W145" s="4" t="s">
        <v>58</v>
      </c>
      <c r="X145" s="4">
        <v>1710914985</v>
      </c>
      <c r="Y145" s="4" t="s">
        <v>221</v>
      </c>
      <c r="Z145" s="4" t="s">
        <v>55</v>
      </c>
      <c r="AA145" s="4" t="s">
        <v>136</v>
      </c>
      <c r="AB145" s="4" t="s">
        <v>137</v>
      </c>
      <c r="AC145" s="4" t="s">
        <v>73</v>
      </c>
      <c r="AD145" s="4" t="s">
        <v>73</v>
      </c>
      <c r="AE145" s="4" t="s">
        <v>73</v>
      </c>
      <c r="AF145" s="4" t="s">
        <v>55</v>
      </c>
      <c r="AG145" s="4" t="s">
        <v>321</v>
      </c>
      <c r="AH145" s="4">
        <v>840107</v>
      </c>
      <c r="AI145" s="4" t="s">
        <v>312</v>
      </c>
      <c r="AJ145" s="4" t="s">
        <v>55</v>
      </c>
      <c r="AK145" s="5">
        <v>44874.711180555554</v>
      </c>
      <c r="AL145" s="6">
        <v>43430</v>
      </c>
      <c r="AM145" s="6">
        <v>44524</v>
      </c>
      <c r="AN145" s="4">
        <v>3</v>
      </c>
      <c r="AO145" s="6">
        <v>44524</v>
      </c>
      <c r="AP145" s="4" t="s">
        <v>352</v>
      </c>
      <c r="AQ145" s="4" t="s">
        <v>353</v>
      </c>
      <c r="AR145" s="4" t="s">
        <v>353</v>
      </c>
      <c r="AS145" s="4" t="s">
        <v>351</v>
      </c>
      <c r="AT145" s="4" t="s">
        <v>49</v>
      </c>
    </row>
    <row r="146" spans="1:46" ht="30" x14ac:dyDescent="0.25">
      <c r="A146" s="4">
        <v>35650942</v>
      </c>
      <c r="B146" s="4" t="str">
        <f>"25953623"</f>
        <v>25953623</v>
      </c>
      <c r="C146" s="4" t="str">
        <f>"700100060001"</f>
        <v>700100060001</v>
      </c>
      <c r="D146" s="4">
        <v>425297</v>
      </c>
      <c r="E146" s="4" t="s">
        <v>132</v>
      </c>
      <c r="F146" s="4" t="s">
        <v>321</v>
      </c>
      <c r="G146" s="4" t="str">
        <f>"AQPI71A002450"</f>
        <v>AQPI71A002450</v>
      </c>
      <c r="H146" s="4" t="str">
        <f>"AQPI71A002450"</f>
        <v>AQPI71A002450</v>
      </c>
      <c r="I146" s="4" t="str">
        <f>"INTEL CORE I7-7700"</f>
        <v>INTEL CORE I7-7700</v>
      </c>
      <c r="J146" s="4" t="s">
        <v>49</v>
      </c>
      <c r="K146" s="4"/>
      <c r="L146" s="4" t="s">
        <v>352</v>
      </c>
      <c r="M146" s="4" t="s">
        <v>49</v>
      </c>
      <c r="N146" s="4" t="s">
        <v>113</v>
      </c>
      <c r="O146" s="4" t="s">
        <v>318</v>
      </c>
      <c r="P146" s="4" t="s">
        <v>135</v>
      </c>
      <c r="Q146" s="4" t="s">
        <v>54</v>
      </c>
      <c r="R146" s="4" t="s">
        <v>55</v>
      </c>
      <c r="S146" s="4" t="s">
        <v>56</v>
      </c>
      <c r="T146" s="4">
        <v>6</v>
      </c>
      <c r="U146" s="4" t="s">
        <v>57</v>
      </c>
      <c r="V146" s="4">
        <v>97459</v>
      </c>
      <c r="W146" s="4" t="s">
        <v>58</v>
      </c>
      <c r="X146" s="4">
        <v>1717662512</v>
      </c>
      <c r="Y146" s="4" t="s">
        <v>71</v>
      </c>
      <c r="Z146" s="4" t="s">
        <v>55</v>
      </c>
      <c r="AA146" s="4" t="s">
        <v>136</v>
      </c>
      <c r="AB146" s="4" t="s">
        <v>137</v>
      </c>
      <c r="AC146" s="4" t="s">
        <v>73</v>
      </c>
      <c r="AD146" s="4" t="s">
        <v>73</v>
      </c>
      <c r="AE146" s="4" t="s">
        <v>73</v>
      </c>
      <c r="AF146" s="4" t="s">
        <v>55</v>
      </c>
      <c r="AG146" s="4" t="s">
        <v>321</v>
      </c>
      <c r="AH146" s="4">
        <v>840107</v>
      </c>
      <c r="AI146" s="4" t="s">
        <v>312</v>
      </c>
      <c r="AJ146" s="4" t="s">
        <v>55</v>
      </c>
      <c r="AK146" s="5">
        <v>44874.711180555554</v>
      </c>
      <c r="AL146" s="6">
        <v>43430</v>
      </c>
      <c r="AM146" s="6">
        <v>44524</v>
      </c>
      <c r="AN146" s="4">
        <v>3</v>
      </c>
      <c r="AO146" s="6">
        <v>44524</v>
      </c>
      <c r="AP146" s="4" t="s">
        <v>352</v>
      </c>
      <c r="AQ146" s="4" t="s">
        <v>353</v>
      </c>
      <c r="AR146" s="4" t="s">
        <v>353</v>
      </c>
      <c r="AS146" s="4" t="s">
        <v>351</v>
      </c>
      <c r="AT146" s="4" t="s">
        <v>49</v>
      </c>
    </row>
    <row r="147" spans="1:46" ht="30" x14ac:dyDescent="0.25">
      <c r="A147" s="4">
        <v>35650943</v>
      </c>
      <c r="B147" s="4" t="str">
        <f>"25953624"</f>
        <v>25953624</v>
      </c>
      <c r="C147" s="4" t="str">
        <f>"700100060001"</f>
        <v>700100060001</v>
      </c>
      <c r="D147" s="4">
        <v>425297</v>
      </c>
      <c r="E147" s="4" t="s">
        <v>132</v>
      </c>
      <c r="F147" s="4" t="s">
        <v>321</v>
      </c>
      <c r="G147" s="4" t="str">
        <f>"AQPI71A009066"</f>
        <v>AQPI71A009066</v>
      </c>
      <c r="H147" s="4" t="str">
        <f>"AQPI71A009066"</f>
        <v>AQPI71A009066</v>
      </c>
      <c r="I147" s="4" t="str">
        <f>"INTEL CORE I7-7700"</f>
        <v>INTEL CORE I7-7700</v>
      </c>
      <c r="J147" s="4" t="s">
        <v>49</v>
      </c>
      <c r="K147" s="4"/>
      <c r="L147" s="4" t="s">
        <v>352</v>
      </c>
      <c r="M147" s="4" t="s">
        <v>49</v>
      </c>
      <c r="N147" s="4" t="s">
        <v>113</v>
      </c>
      <c r="O147" s="4" t="s">
        <v>318</v>
      </c>
      <c r="P147" s="4" t="s">
        <v>135</v>
      </c>
      <c r="Q147" s="4" t="s">
        <v>54</v>
      </c>
      <c r="R147" s="4" t="s">
        <v>55</v>
      </c>
      <c r="S147" s="4" t="s">
        <v>56</v>
      </c>
      <c r="T147" s="4">
        <v>6</v>
      </c>
      <c r="U147" s="4" t="s">
        <v>57</v>
      </c>
      <c r="V147" s="4">
        <v>97459</v>
      </c>
      <c r="W147" s="4" t="s">
        <v>58</v>
      </c>
      <c r="X147" s="4">
        <v>401265012</v>
      </c>
      <c r="Y147" s="4" t="s">
        <v>130</v>
      </c>
      <c r="Z147" s="4" t="s">
        <v>55</v>
      </c>
      <c r="AA147" s="4" t="s">
        <v>136</v>
      </c>
      <c r="AB147" s="4" t="s">
        <v>137</v>
      </c>
      <c r="AC147" s="4" t="s">
        <v>73</v>
      </c>
      <c r="AD147" s="4" t="s">
        <v>73</v>
      </c>
      <c r="AE147" s="4" t="s">
        <v>73</v>
      </c>
      <c r="AF147" s="4" t="s">
        <v>55</v>
      </c>
      <c r="AG147" s="4" t="s">
        <v>321</v>
      </c>
      <c r="AH147" s="4">
        <v>840107</v>
      </c>
      <c r="AI147" s="4" t="s">
        <v>312</v>
      </c>
      <c r="AJ147" s="4" t="s">
        <v>55</v>
      </c>
      <c r="AK147" s="5">
        <v>44874.711180555554</v>
      </c>
      <c r="AL147" s="6">
        <v>43430</v>
      </c>
      <c r="AM147" s="6">
        <v>44524</v>
      </c>
      <c r="AN147" s="4">
        <v>3</v>
      </c>
      <c r="AO147" s="6">
        <v>44524</v>
      </c>
      <c r="AP147" s="4" t="s">
        <v>352</v>
      </c>
      <c r="AQ147" s="4" t="s">
        <v>353</v>
      </c>
      <c r="AR147" s="4" t="s">
        <v>353</v>
      </c>
      <c r="AS147" s="4" t="s">
        <v>351</v>
      </c>
      <c r="AT147" s="4" t="s">
        <v>49</v>
      </c>
    </row>
    <row r="148" spans="1:46" ht="135" x14ac:dyDescent="0.25">
      <c r="A148" s="4">
        <v>35650946</v>
      </c>
      <c r="B148" s="4" t="str">
        <f>"25977610"</f>
        <v>25977610</v>
      </c>
      <c r="C148" s="4" t="str">
        <f>"700100660001"</f>
        <v>700100660001</v>
      </c>
      <c r="D148" s="4">
        <v>425297</v>
      </c>
      <c r="E148" s="4" t="s">
        <v>132</v>
      </c>
      <c r="F148" s="4" t="s">
        <v>354</v>
      </c>
      <c r="G148" s="4" t="str">
        <f>"CN70K3P60V"</f>
        <v>CN70K3P60V</v>
      </c>
      <c r="H148" s="4" t="str">
        <f>"CN70K3P60V"</f>
        <v>CN70K3P60V</v>
      </c>
      <c r="I148" s="4" t="str">
        <f>"4 RANURAS SFP 100/1000 MBPS (IEEE 802.3U TYPE 100BASE-FX. IEEE 802.3Z TYPE 1000BASE-X"</f>
        <v>4 RANURAS SFP 100/1000 MBPS (IEEE 802.3U TYPE 100BASE-FX. IEEE 802.3Z TYPE 1000BASE-X</v>
      </c>
      <c r="J148" s="4" t="s">
        <v>49</v>
      </c>
      <c r="K148" s="4"/>
      <c r="L148" s="4">
        <v>1064</v>
      </c>
      <c r="M148" s="4" t="s">
        <v>49</v>
      </c>
      <c r="N148" s="4" t="s">
        <v>100</v>
      </c>
      <c r="O148" s="4" t="s">
        <v>318</v>
      </c>
      <c r="P148" s="4" t="s">
        <v>135</v>
      </c>
      <c r="Q148" s="4" t="s">
        <v>54</v>
      </c>
      <c r="R148" s="4" t="s">
        <v>55</v>
      </c>
      <c r="S148" s="4" t="s">
        <v>56</v>
      </c>
      <c r="T148" s="4">
        <v>6</v>
      </c>
      <c r="U148" s="4" t="s">
        <v>57</v>
      </c>
      <c r="V148" s="4">
        <v>97459</v>
      </c>
      <c r="W148" s="4" t="s">
        <v>58</v>
      </c>
      <c r="X148" s="4">
        <v>1717662512</v>
      </c>
      <c r="Y148" s="4" t="s">
        <v>71</v>
      </c>
      <c r="Z148" s="4" t="s">
        <v>55</v>
      </c>
      <c r="AA148" s="4" t="s">
        <v>136</v>
      </c>
      <c r="AB148" s="4" t="s">
        <v>137</v>
      </c>
      <c r="AC148" s="4" t="s">
        <v>73</v>
      </c>
      <c r="AD148" s="4" t="s">
        <v>73</v>
      </c>
      <c r="AE148" s="4" t="s">
        <v>73</v>
      </c>
      <c r="AF148" s="4" t="s">
        <v>55</v>
      </c>
      <c r="AG148" s="4" t="s">
        <v>354</v>
      </c>
      <c r="AH148" s="4">
        <v>840107</v>
      </c>
      <c r="AI148" s="4" t="s">
        <v>312</v>
      </c>
      <c r="AJ148" s="4" t="s">
        <v>55</v>
      </c>
      <c r="AK148" s="5">
        <v>44874.711180555554</v>
      </c>
      <c r="AL148" s="6">
        <v>43434</v>
      </c>
      <c r="AM148" s="6">
        <v>44528</v>
      </c>
      <c r="AN148" s="4">
        <v>3</v>
      </c>
      <c r="AO148" s="6">
        <v>44528</v>
      </c>
      <c r="AP148" s="4">
        <v>1064</v>
      </c>
      <c r="AQ148" s="4" t="s">
        <v>355</v>
      </c>
      <c r="AR148" s="4" t="s">
        <v>355</v>
      </c>
      <c r="AS148" s="4" t="s">
        <v>356</v>
      </c>
      <c r="AT148" s="4" t="s">
        <v>49</v>
      </c>
    </row>
    <row r="149" spans="1:46" ht="135" x14ac:dyDescent="0.25">
      <c r="A149" s="4">
        <v>35650947</v>
      </c>
      <c r="B149" s="4" t="str">
        <f>"25977611"</f>
        <v>25977611</v>
      </c>
      <c r="C149" s="4" t="str">
        <f>"700100660001"</f>
        <v>700100660001</v>
      </c>
      <c r="D149" s="4">
        <v>425297</v>
      </c>
      <c r="E149" s="4" t="s">
        <v>132</v>
      </c>
      <c r="F149" s="4" t="s">
        <v>354</v>
      </c>
      <c r="G149" s="4" t="str">
        <f>"246000001794A"</f>
        <v>246000001794A</v>
      </c>
      <c r="H149" s="4" t="str">
        <f>"246000001794A"</f>
        <v>246000001794A</v>
      </c>
      <c r="I149" s="4" t="str">
        <f>"4 RANURAS SFP 100/1000 MBPS (IEEE 802.3U TYPE 100BASE-FX. IEEE 802.3Z TYPE 1000BASE-X"</f>
        <v>4 RANURAS SFP 100/1000 MBPS (IEEE 802.3U TYPE 100BASE-FX. IEEE 802.3Z TYPE 1000BASE-X</v>
      </c>
      <c r="J149" s="4" t="s">
        <v>49</v>
      </c>
      <c r="K149" s="4"/>
      <c r="L149" s="4">
        <v>1064</v>
      </c>
      <c r="M149" s="4" t="s">
        <v>49</v>
      </c>
      <c r="N149" s="4" t="s">
        <v>100</v>
      </c>
      <c r="O149" s="4" t="s">
        <v>318</v>
      </c>
      <c r="P149" s="4" t="s">
        <v>135</v>
      </c>
      <c r="Q149" s="4" t="s">
        <v>54</v>
      </c>
      <c r="R149" s="4" t="s">
        <v>55</v>
      </c>
      <c r="S149" s="4" t="s">
        <v>56</v>
      </c>
      <c r="T149" s="4">
        <v>6</v>
      </c>
      <c r="U149" s="4" t="s">
        <v>57</v>
      </c>
      <c r="V149" s="4">
        <v>97459</v>
      </c>
      <c r="W149" s="4" t="s">
        <v>58</v>
      </c>
      <c r="X149" s="4">
        <v>401265012</v>
      </c>
      <c r="Y149" s="4" t="s">
        <v>130</v>
      </c>
      <c r="Z149" s="4" t="s">
        <v>55</v>
      </c>
      <c r="AA149" s="4" t="s">
        <v>136</v>
      </c>
      <c r="AB149" s="4" t="s">
        <v>137</v>
      </c>
      <c r="AC149" s="4" t="s">
        <v>73</v>
      </c>
      <c r="AD149" s="4" t="s">
        <v>73</v>
      </c>
      <c r="AE149" s="4" t="s">
        <v>73</v>
      </c>
      <c r="AF149" s="4" t="s">
        <v>55</v>
      </c>
      <c r="AG149" s="4" t="s">
        <v>354</v>
      </c>
      <c r="AH149" s="4">
        <v>840107</v>
      </c>
      <c r="AI149" s="4" t="s">
        <v>312</v>
      </c>
      <c r="AJ149" s="4" t="s">
        <v>55</v>
      </c>
      <c r="AK149" s="5">
        <v>44874.711180555554</v>
      </c>
      <c r="AL149" s="6">
        <v>43434</v>
      </c>
      <c r="AM149" s="6">
        <v>44528</v>
      </c>
      <c r="AN149" s="4">
        <v>3</v>
      </c>
      <c r="AO149" s="6">
        <v>44528</v>
      </c>
      <c r="AP149" s="4">
        <v>1064</v>
      </c>
      <c r="AQ149" s="4" t="s">
        <v>355</v>
      </c>
      <c r="AR149" s="4" t="s">
        <v>355</v>
      </c>
      <c r="AS149" s="4" t="s">
        <v>356</v>
      </c>
      <c r="AT149" s="4" t="s">
        <v>49</v>
      </c>
    </row>
    <row r="150" spans="1:46" ht="105" x14ac:dyDescent="0.25">
      <c r="A150" s="4">
        <v>35650948</v>
      </c>
      <c r="B150" s="4" t="str">
        <f>"25977612"</f>
        <v>25977612</v>
      </c>
      <c r="C150" s="4" t="str">
        <f>"700101010001"</f>
        <v>700101010001</v>
      </c>
      <c r="D150" s="4">
        <v>425297</v>
      </c>
      <c r="E150" s="4" t="s">
        <v>132</v>
      </c>
      <c r="F150" s="4" t="s">
        <v>357</v>
      </c>
      <c r="G150" s="4" t="str">
        <f>"WX11077K79J9"</f>
        <v>WX11077K79J9</v>
      </c>
      <c r="H150" s="4" t="str">
        <f>"WX11077K79J9"</f>
        <v>WX11077K79J9</v>
      </c>
      <c r="I150" s="4" t="str">
        <f>"MY CLOUD HOME /6 TB (2 DISCOS DE 3 TB. CAPACIDAD UTILIZABLE DE 2.95 TB)"</f>
        <v>MY CLOUD HOME /6 TB (2 DISCOS DE 3 TB. CAPACIDAD UTILIZABLE DE 2.95 TB)</v>
      </c>
      <c r="J150" s="4" t="s">
        <v>49</v>
      </c>
      <c r="K150" s="4"/>
      <c r="L150" s="4" t="s">
        <v>342</v>
      </c>
      <c r="M150" s="4" t="s">
        <v>49</v>
      </c>
      <c r="N150" s="4" t="s">
        <v>358</v>
      </c>
      <c r="O150" s="4" t="s">
        <v>318</v>
      </c>
      <c r="P150" s="4" t="s">
        <v>135</v>
      </c>
      <c r="Q150" s="4" t="s">
        <v>54</v>
      </c>
      <c r="R150" s="4" t="s">
        <v>55</v>
      </c>
      <c r="S150" s="4" t="s">
        <v>56</v>
      </c>
      <c r="T150" s="4">
        <v>6</v>
      </c>
      <c r="U150" s="4" t="s">
        <v>57</v>
      </c>
      <c r="V150" s="4">
        <v>97459</v>
      </c>
      <c r="W150" s="4" t="s">
        <v>58</v>
      </c>
      <c r="X150" s="4">
        <v>401265012</v>
      </c>
      <c r="Y150" s="4" t="s">
        <v>130</v>
      </c>
      <c r="Z150" s="4" t="s">
        <v>55</v>
      </c>
      <c r="AA150" s="4" t="s">
        <v>136</v>
      </c>
      <c r="AB150" s="4" t="s">
        <v>137</v>
      </c>
      <c r="AC150" s="4" t="s">
        <v>73</v>
      </c>
      <c r="AD150" s="4" t="s">
        <v>73</v>
      </c>
      <c r="AE150" s="4" t="s">
        <v>73</v>
      </c>
      <c r="AF150" s="4" t="s">
        <v>55</v>
      </c>
      <c r="AG150" s="4" t="s">
        <v>357</v>
      </c>
      <c r="AH150" s="4">
        <v>840107</v>
      </c>
      <c r="AI150" s="4" t="s">
        <v>312</v>
      </c>
      <c r="AJ150" s="4" t="s">
        <v>55</v>
      </c>
      <c r="AK150" s="5">
        <v>44874.711180555554</v>
      </c>
      <c r="AL150" s="6">
        <v>43434</v>
      </c>
      <c r="AM150" s="6">
        <v>44528</v>
      </c>
      <c r="AN150" s="4">
        <v>3</v>
      </c>
      <c r="AO150" s="6">
        <v>44528</v>
      </c>
      <c r="AP150" s="4" t="s">
        <v>342</v>
      </c>
      <c r="AQ150" s="4" t="s">
        <v>344</v>
      </c>
      <c r="AR150" s="4" t="s">
        <v>344</v>
      </c>
      <c r="AS150" s="4" t="s">
        <v>345</v>
      </c>
      <c r="AT150" s="4" t="s">
        <v>49</v>
      </c>
    </row>
    <row r="151" spans="1:46" ht="105" x14ac:dyDescent="0.25">
      <c r="A151" s="4">
        <v>35650949</v>
      </c>
      <c r="B151" s="4" t="str">
        <f>"30473757"</f>
        <v>30473757</v>
      </c>
      <c r="C151" s="4" t="str">
        <f t="shared" ref="C151:C166" si="17">"700100070001"</f>
        <v>700100070001</v>
      </c>
      <c r="D151" s="4">
        <v>425297</v>
      </c>
      <c r="E151" s="4" t="s">
        <v>132</v>
      </c>
      <c r="F151" s="4" t="s">
        <v>316</v>
      </c>
      <c r="G151" s="4" t="str">
        <f>"5CD9430WN8"</f>
        <v>5CD9430WN8</v>
      </c>
      <c r="H151" s="4" t="str">
        <f>"5CD9430WN8"</f>
        <v>5CD9430WN8</v>
      </c>
      <c r="I151" s="4" t="str">
        <f>"HP / PROCESADOR INTEL CORE I7-8565U / COLOR PLOMO"</f>
        <v>HP / PROCESADOR INTEL CORE I7-8565U / COLOR PLOMO</v>
      </c>
      <c r="J151" s="4" t="s">
        <v>49</v>
      </c>
      <c r="K151" s="4"/>
      <c r="L151" s="4" t="s">
        <v>359</v>
      </c>
      <c r="M151" s="4" t="s">
        <v>49</v>
      </c>
      <c r="N151" s="4" t="s">
        <v>68</v>
      </c>
      <c r="O151" s="4" t="s">
        <v>318</v>
      </c>
      <c r="P151" s="4" t="s">
        <v>135</v>
      </c>
      <c r="Q151" s="4" t="s">
        <v>54</v>
      </c>
      <c r="R151" s="4" t="s">
        <v>55</v>
      </c>
      <c r="S151" s="4" t="s">
        <v>56</v>
      </c>
      <c r="T151" s="4">
        <v>6</v>
      </c>
      <c r="U151" s="4" t="s">
        <v>57</v>
      </c>
      <c r="V151" s="4">
        <v>97459</v>
      </c>
      <c r="W151" s="4" t="s">
        <v>58</v>
      </c>
      <c r="X151" s="4">
        <v>1003429584</v>
      </c>
      <c r="Y151" s="4" t="s">
        <v>95</v>
      </c>
      <c r="Z151" s="4" t="s">
        <v>55</v>
      </c>
      <c r="AA151" s="4" t="s">
        <v>136</v>
      </c>
      <c r="AB151" s="4" t="s">
        <v>137</v>
      </c>
      <c r="AC151" s="4" t="s">
        <v>73</v>
      </c>
      <c r="AD151" s="4" t="s">
        <v>73</v>
      </c>
      <c r="AE151" s="4" t="s">
        <v>73</v>
      </c>
      <c r="AF151" s="4" t="s">
        <v>55</v>
      </c>
      <c r="AG151" s="4" t="s">
        <v>316</v>
      </c>
      <c r="AH151" s="4">
        <v>840107</v>
      </c>
      <c r="AI151" s="4" t="s">
        <v>312</v>
      </c>
      <c r="AJ151" s="4" t="s">
        <v>49</v>
      </c>
      <c r="AK151" s="5">
        <v>44874.711180555554</v>
      </c>
      <c r="AL151" s="6">
        <v>43796</v>
      </c>
      <c r="AM151" s="6">
        <v>44890</v>
      </c>
      <c r="AN151" s="4">
        <v>3</v>
      </c>
      <c r="AO151" s="6">
        <v>44890</v>
      </c>
      <c r="AP151" s="4" t="s">
        <v>359</v>
      </c>
      <c r="AQ151" s="4" t="s">
        <v>360</v>
      </c>
      <c r="AR151" s="4" t="s">
        <v>360</v>
      </c>
      <c r="AS151" s="4" t="s">
        <v>361</v>
      </c>
      <c r="AT151" s="4" t="s">
        <v>49</v>
      </c>
    </row>
    <row r="152" spans="1:46" ht="105" x14ac:dyDescent="0.25">
      <c r="A152" s="4">
        <v>35650950</v>
      </c>
      <c r="B152" s="4" t="str">
        <f>"30473758"</f>
        <v>30473758</v>
      </c>
      <c r="C152" s="4" t="str">
        <f t="shared" si="17"/>
        <v>700100070001</v>
      </c>
      <c r="D152" s="4">
        <v>425297</v>
      </c>
      <c r="E152" s="4" t="s">
        <v>132</v>
      </c>
      <c r="F152" s="4" t="s">
        <v>316</v>
      </c>
      <c r="G152" s="4" t="str">
        <f>"5CD9437JBS"</f>
        <v>5CD9437JBS</v>
      </c>
      <c r="H152" s="4" t="str">
        <f>"5CD9437JBS"</f>
        <v>5CD9437JBS</v>
      </c>
      <c r="I152" s="4" t="str">
        <f>"HP / PROCESADOR INTEL CORE I7-8565U / COLOR PLOMO"</f>
        <v>HP / PROCESADOR INTEL CORE I7-8565U / COLOR PLOMO</v>
      </c>
      <c r="J152" s="4" t="s">
        <v>49</v>
      </c>
      <c r="K152" s="4"/>
      <c r="L152" s="4" t="s">
        <v>359</v>
      </c>
      <c r="M152" s="4" t="s">
        <v>49</v>
      </c>
      <c r="N152" s="4" t="s">
        <v>362</v>
      </c>
      <c r="O152" s="4" t="s">
        <v>318</v>
      </c>
      <c r="P152" s="4" t="s">
        <v>135</v>
      </c>
      <c r="Q152" s="4" t="s">
        <v>54</v>
      </c>
      <c r="R152" s="4" t="s">
        <v>55</v>
      </c>
      <c r="S152" s="4" t="s">
        <v>56</v>
      </c>
      <c r="T152" s="4">
        <v>6</v>
      </c>
      <c r="U152" s="4" t="s">
        <v>57</v>
      </c>
      <c r="V152" s="4">
        <v>97459</v>
      </c>
      <c r="W152" s="4" t="s">
        <v>58</v>
      </c>
      <c r="X152" s="4">
        <v>1719443135</v>
      </c>
      <c r="Y152" s="4" t="s">
        <v>109</v>
      </c>
      <c r="Z152" s="4" t="s">
        <v>55</v>
      </c>
      <c r="AA152" s="4" t="s">
        <v>136</v>
      </c>
      <c r="AB152" s="4" t="s">
        <v>137</v>
      </c>
      <c r="AC152" s="4" t="s">
        <v>73</v>
      </c>
      <c r="AD152" s="4" t="s">
        <v>73</v>
      </c>
      <c r="AE152" s="4" t="s">
        <v>73</v>
      </c>
      <c r="AF152" s="4" t="s">
        <v>55</v>
      </c>
      <c r="AG152" s="4" t="s">
        <v>316</v>
      </c>
      <c r="AH152" s="4">
        <v>840107</v>
      </c>
      <c r="AI152" s="4" t="s">
        <v>312</v>
      </c>
      <c r="AJ152" s="4" t="s">
        <v>49</v>
      </c>
      <c r="AK152" s="5">
        <v>44874.711180555554</v>
      </c>
      <c r="AL152" s="6">
        <v>43796</v>
      </c>
      <c r="AM152" s="6">
        <v>44890</v>
      </c>
      <c r="AN152" s="4">
        <v>3</v>
      </c>
      <c r="AO152" s="6">
        <v>44890</v>
      </c>
      <c r="AP152" s="4" t="s">
        <v>359</v>
      </c>
      <c r="AQ152" s="4" t="s">
        <v>360</v>
      </c>
      <c r="AR152" s="4" t="s">
        <v>360</v>
      </c>
      <c r="AS152" s="4" t="s">
        <v>361</v>
      </c>
      <c r="AT152" s="4" t="s">
        <v>49</v>
      </c>
    </row>
    <row r="153" spans="1:46" ht="105" x14ac:dyDescent="0.25">
      <c r="A153" s="4">
        <v>35650951</v>
      </c>
      <c r="B153" s="4" t="str">
        <f>"30473759"</f>
        <v>30473759</v>
      </c>
      <c r="C153" s="4" t="str">
        <f t="shared" si="17"/>
        <v>700100070001</v>
      </c>
      <c r="D153" s="4">
        <v>425297</v>
      </c>
      <c r="E153" s="4" t="s">
        <v>132</v>
      </c>
      <c r="F153" s="4" t="s">
        <v>316</v>
      </c>
      <c r="G153" s="4" t="str">
        <f>"5CD9437JBP"</f>
        <v>5CD9437JBP</v>
      </c>
      <c r="H153" s="4" t="str">
        <f>"5CD9437JBP"</f>
        <v>5CD9437JBP</v>
      </c>
      <c r="I153" s="4" t="str">
        <f>"HP / PROCESADOR INTEL CORE I7-8565U / COLOR PLOMO"</f>
        <v>HP / PROCESADOR INTEL CORE I7-8565U / COLOR PLOMO</v>
      </c>
      <c r="J153" s="4" t="s">
        <v>49</v>
      </c>
      <c r="K153" s="4"/>
      <c r="L153" s="4" t="s">
        <v>359</v>
      </c>
      <c r="M153" s="4" t="s">
        <v>49</v>
      </c>
      <c r="N153" s="4" t="s">
        <v>68</v>
      </c>
      <c r="O153" s="4" t="s">
        <v>318</v>
      </c>
      <c r="P153" s="4" t="s">
        <v>135</v>
      </c>
      <c r="Q153" s="4" t="s">
        <v>54</v>
      </c>
      <c r="R153" s="4" t="s">
        <v>55</v>
      </c>
      <c r="S153" s="4" t="s">
        <v>56</v>
      </c>
      <c r="T153" s="4">
        <v>6</v>
      </c>
      <c r="U153" s="4" t="s">
        <v>57</v>
      </c>
      <c r="V153" s="4">
        <v>97459</v>
      </c>
      <c r="W153" s="4" t="s">
        <v>58</v>
      </c>
      <c r="X153" s="4">
        <v>1717662512</v>
      </c>
      <c r="Y153" s="4" t="s">
        <v>71</v>
      </c>
      <c r="Z153" s="4" t="s">
        <v>55</v>
      </c>
      <c r="AA153" s="4" t="s">
        <v>136</v>
      </c>
      <c r="AB153" s="4" t="s">
        <v>137</v>
      </c>
      <c r="AC153" s="4" t="s">
        <v>73</v>
      </c>
      <c r="AD153" s="4" t="s">
        <v>73</v>
      </c>
      <c r="AE153" s="4" t="s">
        <v>73</v>
      </c>
      <c r="AF153" s="4" t="s">
        <v>55</v>
      </c>
      <c r="AG153" s="4" t="s">
        <v>316</v>
      </c>
      <c r="AH153" s="4">
        <v>840107</v>
      </c>
      <c r="AI153" s="4" t="s">
        <v>312</v>
      </c>
      <c r="AJ153" s="4" t="s">
        <v>49</v>
      </c>
      <c r="AK153" s="5">
        <v>44874.711180555554</v>
      </c>
      <c r="AL153" s="6">
        <v>43796</v>
      </c>
      <c r="AM153" s="6">
        <v>44890</v>
      </c>
      <c r="AN153" s="4">
        <v>3</v>
      </c>
      <c r="AO153" s="6">
        <v>44890</v>
      </c>
      <c r="AP153" s="4" t="s">
        <v>359</v>
      </c>
      <c r="AQ153" s="4" t="s">
        <v>360</v>
      </c>
      <c r="AR153" s="4" t="s">
        <v>360</v>
      </c>
      <c r="AS153" s="4" t="s">
        <v>361</v>
      </c>
      <c r="AT153" s="4" t="s">
        <v>49</v>
      </c>
    </row>
    <row r="154" spans="1:46" ht="105" x14ac:dyDescent="0.25">
      <c r="A154" s="4">
        <v>35650953</v>
      </c>
      <c r="B154" s="4" t="str">
        <f>"30473761"</f>
        <v>30473761</v>
      </c>
      <c r="C154" s="4" t="str">
        <f t="shared" si="17"/>
        <v>700100070001</v>
      </c>
      <c r="D154" s="4">
        <v>425297</v>
      </c>
      <c r="E154" s="4" t="s">
        <v>132</v>
      </c>
      <c r="F154" s="4" t="s">
        <v>316</v>
      </c>
      <c r="G154" s="4" t="str">
        <f>"5CD9437JC1"</f>
        <v>5CD9437JC1</v>
      </c>
      <c r="H154" s="4" t="str">
        <f>"5CD9437JC1"</f>
        <v>5CD9437JC1</v>
      </c>
      <c r="I154" s="4" t="str">
        <f>"HP / PROCESADOR INTEL CORE I7-8565U / COLOR PLOMO"</f>
        <v>HP / PROCESADOR INTEL CORE I7-8565U / COLOR PLOMO</v>
      </c>
      <c r="J154" s="4" t="s">
        <v>49</v>
      </c>
      <c r="K154" s="4"/>
      <c r="L154" s="4" t="s">
        <v>359</v>
      </c>
      <c r="M154" s="4" t="s">
        <v>49</v>
      </c>
      <c r="N154" s="4" t="s">
        <v>68</v>
      </c>
      <c r="O154" s="4" t="s">
        <v>318</v>
      </c>
      <c r="P154" s="4" t="s">
        <v>135</v>
      </c>
      <c r="Q154" s="4" t="s">
        <v>54</v>
      </c>
      <c r="R154" s="4" t="s">
        <v>55</v>
      </c>
      <c r="S154" s="4" t="s">
        <v>56</v>
      </c>
      <c r="T154" s="4">
        <v>6</v>
      </c>
      <c r="U154" s="4" t="s">
        <v>57</v>
      </c>
      <c r="V154" s="4">
        <v>97459</v>
      </c>
      <c r="W154" s="4" t="s">
        <v>58</v>
      </c>
      <c r="X154" s="4">
        <v>1709796500</v>
      </c>
      <c r="Y154" s="4" t="s">
        <v>157</v>
      </c>
      <c r="Z154" s="4" t="s">
        <v>55</v>
      </c>
      <c r="AA154" s="4" t="s">
        <v>136</v>
      </c>
      <c r="AB154" s="4" t="s">
        <v>137</v>
      </c>
      <c r="AC154" s="4" t="s">
        <v>73</v>
      </c>
      <c r="AD154" s="4" t="s">
        <v>73</v>
      </c>
      <c r="AE154" s="4" t="s">
        <v>73</v>
      </c>
      <c r="AF154" s="4" t="s">
        <v>55</v>
      </c>
      <c r="AG154" s="4" t="s">
        <v>316</v>
      </c>
      <c r="AH154" s="4">
        <v>840107</v>
      </c>
      <c r="AI154" s="4" t="s">
        <v>312</v>
      </c>
      <c r="AJ154" s="4" t="s">
        <v>49</v>
      </c>
      <c r="AK154" s="5">
        <v>44874.711180555554</v>
      </c>
      <c r="AL154" s="6">
        <v>43796</v>
      </c>
      <c r="AM154" s="6">
        <v>44890</v>
      </c>
      <c r="AN154" s="4">
        <v>3</v>
      </c>
      <c r="AO154" s="6">
        <v>44890</v>
      </c>
      <c r="AP154" s="4" t="s">
        <v>359</v>
      </c>
      <c r="AQ154" s="4" t="s">
        <v>360</v>
      </c>
      <c r="AR154" s="4" t="s">
        <v>360</v>
      </c>
      <c r="AS154" s="4" t="s">
        <v>361</v>
      </c>
      <c r="AT154" s="4" t="s">
        <v>49</v>
      </c>
    </row>
    <row r="155" spans="1:46" ht="105" x14ac:dyDescent="0.25">
      <c r="A155" s="4">
        <v>35650954</v>
      </c>
      <c r="B155" s="4" t="str">
        <f>"30473762"</f>
        <v>30473762</v>
      </c>
      <c r="C155" s="4" t="str">
        <f t="shared" si="17"/>
        <v>700100070001</v>
      </c>
      <c r="D155" s="4">
        <v>425297</v>
      </c>
      <c r="E155" s="4" t="s">
        <v>132</v>
      </c>
      <c r="F155" s="4" t="s">
        <v>316</v>
      </c>
      <c r="G155" s="4" t="str">
        <f>"5CD9437JB2"</f>
        <v>5CD9437JB2</v>
      </c>
      <c r="H155" s="4" t="str">
        <f>"5CD9437JB2"</f>
        <v>5CD9437JB2</v>
      </c>
      <c r="I155" s="4" t="str">
        <f>"HP / PROCESADOR INTEL CORE I7-8565U / COLOR PLOMO"</f>
        <v>HP / PROCESADOR INTEL CORE I7-8565U / COLOR PLOMO</v>
      </c>
      <c r="J155" s="4" t="s">
        <v>49</v>
      </c>
      <c r="K155" s="4"/>
      <c r="L155" s="4" t="s">
        <v>359</v>
      </c>
      <c r="M155" s="4" t="s">
        <v>49</v>
      </c>
      <c r="N155" s="4" t="s">
        <v>68</v>
      </c>
      <c r="O155" s="4" t="s">
        <v>318</v>
      </c>
      <c r="P155" s="4" t="s">
        <v>135</v>
      </c>
      <c r="Q155" s="4" t="s">
        <v>54</v>
      </c>
      <c r="R155" s="4" t="s">
        <v>55</v>
      </c>
      <c r="S155" s="4" t="s">
        <v>56</v>
      </c>
      <c r="T155" s="4">
        <v>6</v>
      </c>
      <c r="U155" s="4" t="s">
        <v>57</v>
      </c>
      <c r="V155" s="4">
        <v>97459</v>
      </c>
      <c r="W155" s="4" t="s">
        <v>58</v>
      </c>
      <c r="X155" s="4">
        <v>102936168</v>
      </c>
      <c r="Y155" s="4" t="s">
        <v>59</v>
      </c>
      <c r="Z155" s="4" t="s">
        <v>55</v>
      </c>
      <c r="AA155" s="4" t="s">
        <v>136</v>
      </c>
      <c r="AB155" s="4" t="s">
        <v>137</v>
      </c>
      <c r="AC155" s="4" t="s">
        <v>73</v>
      </c>
      <c r="AD155" s="4" t="s">
        <v>73</v>
      </c>
      <c r="AE155" s="4" t="s">
        <v>73</v>
      </c>
      <c r="AF155" s="4" t="s">
        <v>55</v>
      </c>
      <c r="AG155" s="4" t="s">
        <v>316</v>
      </c>
      <c r="AH155" s="4">
        <v>840107</v>
      </c>
      <c r="AI155" s="4" t="s">
        <v>312</v>
      </c>
      <c r="AJ155" s="4" t="s">
        <v>49</v>
      </c>
      <c r="AK155" s="5">
        <v>44874.711180555554</v>
      </c>
      <c r="AL155" s="6">
        <v>43796</v>
      </c>
      <c r="AM155" s="6">
        <v>44890</v>
      </c>
      <c r="AN155" s="4">
        <v>3</v>
      </c>
      <c r="AO155" s="6">
        <v>44890</v>
      </c>
      <c r="AP155" s="4" t="s">
        <v>359</v>
      </c>
      <c r="AQ155" s="4" t="s">
        <v>360</v>
      </c>
      <c r="AR155" s="4" t="s">
        <v>360</v>
      </c>
      <c r="AS155" s="4" t="s">
        <v>361</v>
      </c>
      <c r="AT155" s="4" t="s">
        <v>49</v>
      </c>
    </row>
    <row r="156" spans="1:46" ht="45" x14ac:dyDescent="0.25">
      <c r="A156" s="4">
        <v>35650955</v>
      </c>
      <c r="B156" s="4" t="str">
        <f>"30473763"</f>
        <v>30473763</v>
      </c>
      <c r="C156" s="4" t="str">
        <f t="shared" si="17"/>
        <v>700100070001</v>
      </c>
      <c r="D156" s="4">
        <v>425297</v>
      </c>
      <c r="E156" s="4" t="s">
        <v>132</v>
      </c>
      <c r="F156" s="4" t="s">
        <v>316</v>
      </c>
      <c r="G156" s="4" t="str">
        <f>"X2SR003766"</f>
        <v>X2SR003766</v>
      </c>
      <c r="H156" s="4" t="str">
        <f>"X2SR003766"</f>
        <v>X2SR003766</v>
      </c>
      <c r="I156" s="4" t="str">
        <f>"FALSO"</f>
        <v>FALSO</v>
      </c>
      <c r="J156" s="4" t="s">
        <v>49</v>
      </c>
      <c r="K156" s="4"/>
      <c r="L156" s="4" t="s">
        <v>363</v>
      </c>
      <c r="M156" s="4" t="s">
        <v>49</v>
      </c>
      <c r="N156" s="4" t="s">
        <v>68</v>
      </c>
      <c r="O156" s="4" t="s">
        <v>318</v>
      </c>
      <c r="P156" s="4" t="s">
        <v>135</v>
      </c>
      <c r="Q156" s="4" t="s">
        <v>54</v>
      </c>
      <c r="R156" s="4" t="s">
        <v>55</v>
      </c>
      <c r="S156" s="4" t="s">
        <v>56</v>
      </c>
      <c r="T156" s="4">
        <v>6</v>
      </c>
      <c r="U156" s="4" t="s">
        <v>57</v>
      </c>
      <c r="V156" s="4">
        <v>97459</v>
      </c>
      <c r="W156" s="4" t="s">
        <v>58</v>
      </c>
      <c r="X156" s="4">
        <v>401265012</v>
      </c>
      <c r="Y156" s="4" t="s">
        <v>130</v>
      </c>
      <c r="Z156" s="4" t="s">
        <v>55</v>
      </c>
      <c r="AA156" s="4" t="s">
        <v>136</v>
      </c>
      <c r="AB156" s="4" t="s">
        <v>137</v>
      </c>
      <c r="AC156" s="4" t="s">
        <v>73</v>
      </c>
      <c r="AD156" s="4" t="s">
        <v>73</v>
      </c>
      <c r="AE156" s="4" t="s">
        <v>73</v>
      </c>
      <c r="AF156" s="4" t="s">
        <v>55</v>
      </c>
      <c r="AG156" s="4" t="s">
        <v>364</v>
      </c>
      <c r="AH156" s="4">
        <v>840107</v>
      </c>
      <c r="AI156" s="4" t="s">
        <v>312</v>
      </c>
      <c r="AJ156" s="4" t="s">
        <v>49</v>
      </c>
      <c r="AK156" s="5">
        <v>44874.711180555554</v>
      </c>
      <c r="AL156" s="6">
        <v>43796</v>
      </c>
      <c r="AM156" s="6">
        <v>44890</v>
      </c>
      <c r="AN156" s="4">
        <v>3</v>
      </c>
      <c r="AO156" s="6">
        <v>44890</v>
      </c>
      <c r="AP156" s="4" t="s">
        <v>363</v>
      </c>
      <c r="AQ156" s="4" t="s">
        <v>365</v>
      </c>
      <c r="AR156" s="4" t="s">
        <v>365</v>
      </c>
      <c r="AS156" s="4" t="s">
        <v>366</v>
      </c>
      <c r="AT156" s="4" t="s">
        <v>49</v>
      </c>
    </row>
    <row r="157" spans="1:46" ht="75" x14ac:dyDescent="0.25">
      <c r="A157" s="4">
        <v>37544489</v>
      </c>
      <c r="B157" s="4" t="str">
        <f>""</f>
        <v/>
      </c>
      <c r="C157" s="4" t="str">
        <f t="shared" si="17"/>
        <v>700100070001</v>
      </c>
      <c r="D157" s="4">
        <v>3</v>
      </c>
      <c r="E157" s="4" t="s">
        <v>132</v>
      </c>
      <c r="F157" s="4" t="s">
        <v>316</v>
      </c>
      <c r="G157" s="4" t="str">
        <f>"37544489"</f>
        <v>37544489</v>
      </c>
      <c r="H157" s="4" t="str">
        <f>""</f>
        <v/>
      </c>
      <c r="I157" s="4" t="str">
        <f>""</f>
        <v/>
      </c>
      <c r="J157" s="4"/>
      <c r="K157" s="4"/>
      <c r="L157" s="4">
        <v>874</v>
      </c>
      <c r="M157" s="4"/>
      <c r="N157" s="4" t="s">
        <v>113</v>
      </c>
      <c r="O157" s="4" t="s">
        <v>367</v>
      </c>
      <c r="P157" s="4" t="s">
        <v>368</v>
      </c>
      <c r="Q157" s="4" t="s">
        <v>54</v>
      </c>
      <c r="R157" s="4" t="s">
        <v>55</v>
      </c>
      <c r="S157" s="4" t="s">
        <v>56</v>
      </c>
      <c r="T157" s="4">
        <v>6</v>
      </c>
      <c r="U157" s="4" t="s">
        <v>57</v>
      </c>
      <c r="V157" s="4">
        <v>97459</v>
      </c>
      <c r="W157" s="4" t="s">
        <v>58</v>
      </c>
      <c r="X157" s="4">
        <v>1717662512</v>
      </c>
      <c r="Y157" s="4" t="s">
        <v>71</v>
      </c>
      <c r="Z157" s="4" t="s">
        <v>55</v>
      </c>
      <c r="AA157" s="4" t="s">
        <v>60</v>
      </c>
      <c r="AB157" s="4" t="s">
        <v>61</v>
      </c>
      <c r="AC157" s="4">
        <v>507</v>
      </c>
      <c r="AD157" s="4" t="s">
        <v>62</v>
      </c>
      <c r="AE157" s="4" t="s">
        <v>55</v>
      </c>
      <c r="AF157" s="4" t="s">
        <v>55</v>
      </c>
      <c r="AG157" s="4" t="s">
        <v>369</v>
      </c>
      <c r="AH157" s="4">
        <v>840107</v>
      </c>
      <c r="AI157" s="4" t="s">
        <v>312</v>
      </c>
      <c r="AJ157" s="4" t="s">
        <v>55</v>
      </c>
      <c r="AK157" s="5">
        <v>45176</v>
      </c>
      <c r="AL157" s="6">
        <v>45244</v>
      </c>
      <c r="AM157" s="6">
        <v>46081</v>
      </c>
      <c r="AN157" s="4">
        <v>3</v>
      </c>
      <c r="AO157" s="6">
        <v>46338</v>
      </c>
      <c r="AP157" s="4">
        <v>874</v>
      </c>
      <c r="AQ157" s="4" t="s">
        <v>370</v>
      </c>
      <c r="AR157" s="4" t="s">
        <v>371</v>
      </c>
      <c r="AS157" s="4" t="s">
        <v>372</v>
      </c>
      <c r="AT157" s="4" t="s">
        <v>49</v>
      </c>
    </row>
    <row r="158" spans="1:46" ht="75" x14ac:dyDescent="0.25">
      <c r="A158" s="4">
        <v>37544490</v>
      </c>
      <c r="B158" s="4" t="str">
        <f>""</f>
        <v/>
      </c>
      <c r="C158" s="4" t="str">
        <f t="shared" si="17"/>
        <v>700100070001</v>
      </c>
      <c r="D158" s="4">
        <v>3</v>
      </c>
      <c r="E158" s="4" t="s">
        <v>132</v>
      </c>
      <c r="F158" s="4" t="s">
        <v>316</v>
      </c>
      <c r="G158" s="4" t="str">
        <f>"37544490"</f>
        <v>37544490</v>
      </c>
      <c r="H158" s="4" t="str">
        <f>""</f>
        <v/>
      </c>
      <c r="I158" s="4" t="str">
        <f>""</f>
        <v/>
      </c>
      <c r="J158" s="4"/>
      <c r="K158" s="4"/>
      <c r="L158" s="4">
        <v>874</v>
      </c>
      <c r="M158" s="4"/>
      <c r="N158" s="4" t="s">
        <v>113</v>
      </c>
      <c r="O158" s="4" t="s">
        <v>367</v>
      </c>
      <c r="P158" s="4" t="s">
        <v>368</v>
      </c>
      <c r="Q158" s="4" t="s">
        <v>54</v>
      </c>
      <c r="R158" s="4" t="s">
        <v>55</v>
      </c>
      <c r="S158" s="4" t="s">
        <v>56</v>
      </c>
      <c r="T158" s="4">
        <v>6</v>
      </c>
      <c r="U158" s="4" t="s">
        <v>57</v>
      </c>
      <c r="V158" s="4">
        <v>97459</v>
      </c>
      <c r="W158" s="4" t="s">
        <v>58</v>
      </c>
      <c r="X158" s="4">
        <v>1717662512</v>
      </c>
      <c r="Y158" s="4" t="s">
        <v>71</v>
      </c>
      <c r="Z158" s="4" t="s">
        <v>55</v>
      </c>
      <c r="AA158" s="4" t="s">
        <v>60</v>
      </c>
      <c r="AB158" s="4" t="s">
        <v>61</v>
      </c>
      <c r="AC158" s="4">
        <v>507</v>
      </c>
      <c r="AD158" s="4" t="s">
        <v>62</v>
      </c>
      <c r="AE158" s="4" t="s">
        <v>55</v>
      </c>
      <c r="AF158" s="4" t="s">
        <v>55</v>
      </c>
      <c r="AG158" s="4" t="s">
        <v>369</v>
      </c>
      <c r="AH158" s="4">
        <v>840107</v>
      </c>
      <c r="AI158" s="4" t="s">
        <v>312</v>
      </c>
      <c r="AJ158" s="4" t="s">
        <v>55</v>
      </c>
      <c r="AK158" s="5">
        <v>45176</v>
      </c>
      <c r="AL158" s="6">
        <v>45244</v>
      </c>
      <c r="AM158" s="6">
        <v>46081</v>
      </c>
      <c r="AN158" s="4">
        <v>3</v>
      </c>
      <c r="AO158" s="6">
        <v>46338</v>
      </c>
      <c r="AP158" s="4">
        <v>874</v>
      </c>
      <c r="AQ158" s="4" t="s">
        <v>370</v>
      </c>
      <c r="AR158" s="4" t="s">
        <v>371</v>
      </c>
      <c r="AS158" s="4" t="s">
        <v>372</v>
      </c>
      <c r="AT158" s="4" t="s">
        <v>49</v>
      </c>
    </row>
    <row r="159" spans="1:46" ht="75" x14ac:dyDescent="0.25">
      <c r="A159" s="4">
        <v>37544491</v>
      </c>
      <c r="B159" s="4" t="str">
        <f>""</f>
        <v/>
      </c>
      <c r="C159" s="4" t="str">
        <f t="shared" si="17"/>
        <v>700100070001</v>
      </c>
      <c r="D159" s="4">
        <v>3</v>
      </c>
      <c r="E159" s="4" t="s">
        <v>132</v>
      </c>
      <c r="F159" s="4" t="s">
        <v>316</v>
      </c>
      <c r="G159" s="4" t="str">
        <f>"37544491"</f>
        <v>37544491</v>
      </c>
      <c r="H159" s="4" t="str">
        <f>""</f>
        <v/>
      </c>
      <c r="I159" s="4" t="str">
        <f>""</f>
        <v/>
      </c>
      <c r="J159" s="4"/>
      <c r="K159" s="4"/>
      <c r="L159" s="4">
        <v>874</v>
      </c>
      <c r="M159" s="4"/>
      <c r="N159" s="4" t="s">
        <v>113</v>
      </c>
      <c r="O159" s="4" t="s">
        <v>367</v>
      </c>
      <c r="P159" s="4" t="s">
        <v>368</v>
      </c>
      <c r="Q159" s="4" t="s">
        <v>54</v>
      </c>
      <c r="R159" s="4" t="s">
        <v>55</v>
      </c>
      <c r="S159" s="4" t="s">
        <v>56</v>
      </c>
      <c r="T159" s="4">
        <v>6</v>
      </c>
      <c r="U159" s="4" t="s">
        <v>57</v>
      </c>
      <c r="V159" s="4">
        <v>97459</v>
      </c>
      <c r="W159" s="4" t="s">
        <v>58</v>
      </c>
      <c r="X159" s="4">
        <v>1725514309</v>
      </c>
      <c r="Y159" s="4" t="s">
        <v>197</v>
      </c>
      <c r="Z159" s="4" t="s">
        <v>55</v>
      </c>
      <c r="AA159" s="4" t="s">
        <v>60</v>
      </c>
      <c r="AB159" s="4" t="s">
        <v>61</v>
      </c>
      <c r="AC159" s="4">
        <v>507</v>
      </c>
      <c r="AD159" s="4" t="s">
        <v>62</v>
      </c>
      <c r="AE159" s="4" t="s">
        <v>55</v>
      </c>
      <c r="AF159" s="4" t="s">
        <v>55</v>
      </c>
      <c r="AG159" s="4" t="s">
        <v>369</v>
      </c>
      <c r="AH159" s="4">
        <v>840107</v>
      </c>
      <c r="AI159" s="4" t="s">
        <v>312</v>
      </c>
      <c r="AJ159" s="4" t="s">
        <v>55</v>
      </c>
      <c r="AK159" s="5">
        <v>45176</v>
      </c>
      <c r="AL159" s="6">
        <v>45244</v>
      </c>
      <c r="AM159" s="6">
        <v>46081</v>
      </c>
      <c r="AN159" s="4">
        <v>3</v>
      </c>
      <c r="AO159" s="6">
        <v>46338</v>
      </c>
      <c r="AP159" s="4">
        <v>874</v>
      </c>
      <c r="AQ159" s="4" t="s">
        <v>370</v>
      </c>
      <c r="AR159" s="4" t="s">
        <v>371</v>
      </c>
      <c r="AS159" s="4" t="s">
        <v>372</v>
      </c>
      <c r="AT159" s="4" t="s">
        <v>49</v>
      </c>
    </row>
    <row r="160" spans="1:46" ht="105" x14ac:dyDescent="0.25">
      <c r="A160" s="4">
        <v>38194951</v>
      </c>
      <c r="B160" s="4" t="str">
        <f>""</f>
        <v/>
      </c>
      <c r="C160" s="4" t="str">
        <f t="shared" si="17"/>
        <v>700100070001</v>
      </c>
      <c r="D160" s="4">
        <v>4</v>
      </c>
      <c r="E160" s="4" t="s">
        <v>132</v>
      </c>
      <c r="F160" s="4" t="s">
        <v>316</v>
      </c>
      <c r="G160" s="4" t="str">
        <f>"38194951"</f>
        <v>38194951</v>
      </c>
      <c r="H160" s="4" t="str">
        <f>"PROBOOK 440 G10"</f>
        <v>PROBOOK 440 G10</v>
      </c>
      <c r="I160" s="4" t="str">
        <f>"HP"</f>
        <v>HP</v>
      </c>
      <c r="J160" s="4" t="s">
        <v>49</v>
      </c>
      <c r="K160" s="4"/>
      <c r="L160" s="4">
        <v>1229</v>
      </c>
      <c r="M160" s="4" t="s">
        <v>49</v>
      </c>
      <c r="N160" s="4" t="s">
        <v>68</v>
      </c>
      <c r="O160" s="4" t="s">
        <v>373</v>
      </c>
      <c r="P160" s="4" t="s">
        <v>374</v>
      </c>
      <c r="Q160" s="4" t="s">
        <v>54</v>
      </c>
      <c r="R160" s="4" t="s">
        <v>55</v>
      </c>
      <c r="S160" s="4" t="s">
        <v>56</v>
      </c>
      <c r="T160" s="4">
        <v>6</v>
      </c>
      <c r="U160" s="4" t="s">
        <v>57</v>
      </c>
      <c r="V160" s="4">
        <v>97459</v>
      </c>
      <c r="W160" s="4" t="s">
        <v>58</v>
      </c>
      <c r="X160" s="4">
        <v>1726517327</v>
      </c>
      <c r="Y160" s="4" t="s">
        <v>152</v>
      </c>
      <c r="Z160" s="4" t="s">
        <v>55</v>
      </c>
      <c r="AA160" s="4" t="s">
        <v>375</v>
      </c>
      <c r="AB160" s="4" t="s">
        <v>61</v>
      </c>
      <c r="AC160" s="4" t="s">
        <v>73</v>
      </c>
      <c r="AD160" s="4" t="s">
        <v>62</v>
      </c>
      <c r="AE160" s="4" t="s">
        <v>55</v>
      </c>
      <c r="AF160" s="4" t="s">
        <v>55</v>
      </c>
      <c r="AG160" s="4" t="s">
        <v>376</v>
      </c>
      <c r="AH160" s="4">
        <v>0</v>
      </c>
      <c r="AI160" s="4" t="s">
        <v>312</v>
      </c>
      <c r="AJ160" s="4" t="s">
        <v>55</v>
      </c>
      <c r="AK160" s="5">
        <v>45323</v>
      </c>
      <c r="AL160" s="6">
        <v>45323</v>
      </c>
      <c r="AM160" s="6">
        <v>46081</v>
      </c>
      <c r="AN160" s="4">
        <v>3</v>
      </c>
      <c r="AO160" s="6">
        <v>46417</v>
      </c>
      <c r="AP160" s="4">
        <v>1229</v>
      </c>
      <c r="AQ160" s="4" t="s">
        <v>377</v>
      </c>
      <c r="AR160" s="4" t="s">
        <v>378</v>
      </c>
      <c r="AS160" s="4" t="s">
        <v>379</v>
      </c>
      <c r="AT160" s="4" t="s">
        <v>49</v>
      </c>
    </row>
    <row r="161" spans="1:46" ht="105" x14ac:dyDescent="0.25">
      <c r="A161" s="4">
        <v>38194252</v>
      </c>
      <c r="B161" s="4" t="str">
        <f>""</f>
        <v/>
      </c>
      <c r="C161" s="4" t="str">
        <f t="shared" si="17"/>
        <v>700100070001</v>
      </c>
      <c r="D161" s="4">
        <v>1</v>
      </c>
      <c r="E161" s="4" t="s">
        <v>132</v>
      </c>
      <c r="F161" s="4" t="s">
        <v>316</v>
      </c>
      <c r="G161" s="4" t="str">
        <f>"38194252"</f>
        <v>38194252</v>
      </c>
      <c r="H161" s="4" t="s">
        <v>380</v>
      </c>
      <c r="I161" s="4" t="str">
        <f>"TOSHIBA"</f>
        <v>TOSHIBA</v>
      </c>
      <c r="J161" s="4" t="s">
        <v>49</v>
      </c>
      <c r="K161" s="4"/>
      <c r="L161" s="4">
        <v>874</v>
      </c>
      <c r="M161" s="4" t="s">
        <v>49</v>
      </c>
      <c r="N161" s="4" t="s">
        <v>113</v>
      </c>
      <c r="O161" s="4" t="s">
        <v>373</v>
      </c>
      <c r="P161" s="4" t="s">
        <v>381</v>
      </c>
      <c r="Q161" s="4" t="s">
        <v>54</v>
      </c>
      <c r="R161" s="4" t="s">
        <v>55</v>
      </c>
      <c r="S161" s="4" t="s">
        <v>56</v>
      </c>
      <c r="T161" s="4">
        <v>6</v>
      </c>
      <c r="U161" s="4" t="s">
        <v>57</v>
      </c>
      <c r="V161" s="4">
        <v>97459</v>
      </c>
      <c r="W161" s="4" t="s">
        <v>58</v>
      </c>
      <c r="X161" s="4">
        <v>1717662512</v>
      </c>
      <c r="Y161" s="4" t="s">
        <v>71</v>
      </c>
      <c r="Z161" s="4" t="s">
        <v>55</v>
      </c>
      <c r="AA161" s="4" t="s">
        <v>375</v>
      </c>
      <c r="AB161" s="4" t="s">
        <v>61</v>
      </c>
      <c r="AC161" s="4" t="s">
        <v>73</v>
      </c>
      <c r="AD161" s="4" t="s">
        <v>62</v>
      </c>
      <c r="AE161" s="4" t="s">
        <v>55</v>
      </c>
      <c r="AF161" s="4" t="s">
        <v>55</v>
      </c>
      <c r="AG161" s="4" t="s">
        <v>382</v>
      </c>
      <c r="AH161" s="4">
        <v>0</v>
      </c>
      <c r="AI161" s="4" t="s">
        <v>312</v>
      </c>
      <c r="AJ161" s="4" t="s">
        <v>55</v>
      </c>
      <c r="AK161" s="5">
        <v>45320</v>
      </c>
      <c r="AL161" s="6">
        <v>45320</v>
      </c>
      <c r="AM161" s="6">
        <v>46081</v>
      </c>
      <c r="AN161" s="4">
        <v>3</v>
      </c>
      <c r="AO161" s="6">
        <v>46414</v>
      </c>
      <c r="AP161" s="4">
        <v>874</v>
      </c>
      <c r="AQ161" s="4" t="s">
        <v>370</v>
      </c>
      <c r="AR161" s="4" t="s">
        <v>383</v>
      </c>
      <c r="AS161" s="4" t="s">
        <v>384</v>
      </c>
      <c r="AT161" s="4" t="s">
        <v>49</v>
      </c>
    </row>
    <row r="162" spans="1:46" ht="90" x14ac:dyDescent="0.25">
      <c r="A162" s="4">
        <v>38795816</v>
      </c>
      <c r="B162" s="4" t="str">
        <f>""</f>
        <v/>
      </c>
      <c r="C162" s="4" t="str">
        <f t="shared" si="17"/>
        <v>700100070001</v>
      </c>
      <c r="D162" s="4">
        <v>7</v>
      </c>
      <c r="E162" s="4" t="s">
        <v>132</v>
      </c>
      <c r="F162" s="4" t="s">
        <v>316</v>
      </c>
      <c r="G162" s="4" t="str">
        <f>"38795816"</f>
        <v>38795816</v>
      </c>
      <c r="H162" s="4" t="str">
        <f>""</f>
        <v/>
      </c>
      <c r="I162" s="4" t="str">
        <f>""</f>
        <v/>
      </c>
      <c r="J162" s="4"/>
      <c r="K162" s="4"/>
      <c r="L162" s="4">
        <v>1340</v>
      </c>
      <c r="M162" s="4"/>
      <c r="N162" s="4" t="s">
        <v>174</v>
      </c>
      <c r="O162" s="4" t="s">
        <v>114</v>
      </c>
      <c r="P162" s="4" t="s">
        <v>385</v>
      </c>
      <c r="Q162" s="4" t="s">
        <v>54</v>
      </c>
      <c r="R162" s="4" t="s">
        <v>55</v>
      </c>
      <c r="S162" s="4" t="s">
        <v>56</v>
      </c>
      <c r="T162" s="4">
        <v>6</v>
      </c>
      <c r="U162" s="4" t="s">
        <v>57</v>
      </c>
      <c r="V162" s="4">
        <v>97459</v>
      </c>
      <c r="W162" s="4" t="s">
        <v>58</v>
      </c>
      <c r="X162" s="4">
        <v>1723600886</v>
      </c>
      <c r="Y162" s="4" t="s">
        <v>214</v>
      </c>
      <c r="Z162" s="4" t="s">
        <v>55</v>
      </c>
      <c r="AA162" s="4" t="s">
        <v>116</v>
      </c>
      <c r="AB162" s="4" t="s">
        <v>61</v>
      </c>
      <c r="AC162" s="4" t="s">
        <v>73</v>
      </c>
      <c r="AD162" s="4" t="s">
        <v>62</v>
      </c>
      <c r="AE162" s="4" t="s">
        <v>55</v>
      </c>
      <c r="AF162" s="4" t="s">
        <v>55</v>
      </c>
      <c r="AG162" s="4" t="s">
        <v>386</v>
      </c>
      <c r="AH162" s="4">
        <v>0</v>
      </c>
      <c r="AI162" s="4" t="s">
        <v>312</v>
      </c>
      <c r="AJ162" s="4" t="s">
        <v>55</v>
      </c>
      <c r="AK162" s="5">
        <v>45490</v>
      </c>
      <c r="AL162" s="6">
        <v>45490</v>
      </c>
      <c r="AM162" s="6">
        <v>46081</v>
      </c>
      <c r="AN162" s="4">
        <v>3</v>
      </c>
      <c r="AO162" s="6">
        <v>46584</v>
      </c>
      <c r="AP162" s="4">
        <v>1340</v>
      </c>
      <c r="AQ162" s="4">
        <v>134</v>
      </c>
      <c r="AR162" s="4" t="s">
        <v>387</v>
      </c>
      <c r="AS162" s="4" t="s">
        <v>388</v>
      </c>
      <c r="AT162" s="4" t="s">
        <v>49</v>
      </c>
    </row>
    <row r="163" spans="1:46" ht="90" x14ac:dyDescent="0.25">
      <c r="A163" s="4">
        <v>38795817</v>
      </c>
      <c r="B163" s="4" t="str">
        <f>""</f>
        <v/>
      </c>
      <c r="C163" s="4" t="str">
        <f t="shared" si="17"/>
        <v>700100070001</v>
      </c>
      <c r="D163" s="4">
        <v>7</v>
      </c>
      <c r="E163" s="4" t="s">
        <v>132</v>
      </c>
      <c r="F163" s="4" t="s">
        <v>316</v>
      </c>
      <c r="G163" s="4" t="str">
        <f>"38795817"</f>
        <v>38795817</v>
      </c>
      <c r="H163" s="4" t="str">
        <f>""</f>
        <v/>
      </c>
      <c r="I163" s="4" t="str">
        <f>""</f>
        <v/>
      </c>
      <c r="J163" s="4"/>
      <c r="K163" s="4"/>
      <c r="L163" s="4">
        <v>1415</v>
      </c>
      <c r="M163" s="4"/>
      <c r="N163" s="4" t="s">
        <v>113</v>
      </c>
      <c r="O163" s="4" t="s">
        <v>114</v>
      </c>
      <c r="P163" s="4" t="s">
        <v>385</v>
      </c>
      <c r="Q163" s="4" t="s">
        <v>54</v>
      </c>
      <c r="R163" s="4" t="s">
        <v>55</v>
      </c>
      <c r="S163" s="4" t="s">
        <v>56</v>
      </c>
      <c r="T163" s="4">
        <v>6</v>
      </c>
      <c r="U163" s="4" t="s">
        <v>57</v>
      </c>
      <c r="V163" s="4">
        <v>97459</v>
      </c>
      <c r="W163" s="4" t="s">
        <v>58</v>
      </c>
      <c r="X163" s="4">
        <v>1717662512</v>
      </c>
      <c r="Y163" s="4" t="s">
        <v>71</v>
      </c>
      <c r="Z163" s="4" t="s">
        <v>55</v>
      </c>
      <c r="AA163" s="4" t="s">
        <v>116</v>
      </c>
      <c r="AB163" s="4" t="s">
        <v>61</v>
      </c>
      <c r="AC163" s="4" t="s">
        <v>73</v>
      </c>
      <c r="AD163" s="4" t="s">
        <v>62</v>
      </c>
      <c r="AE163" s="4" t="s">
        <v>55</v>
      </c>
      <c r="AF163" s="4" t="s">
        <v>55</v>
      </c>
      <c r="AG163" s="4" t="s">
        <v>386</v>
      </c>
      <c r="AH163" s="4">
        <v>0</v>
      </c>
      <c r="AI163" s="4" t="s">
        <v>312</v>
      </c>
      <c r="AJ163" s="4" t="s">
        <v>55</v>
      </c>
      <c r="AK163" s="5">
        <v>45490</v>
      </c>
      <c r="AL163" s="6">
        <v>45490</v>
      </c>
      <c r="AM163" s="6">
        <v>46081</v>
      </c>
      <c r="AN163" s="4">
        <v>2</v>
      </c>
      <c r="AO163" s="6">
        <v>46219</v>
      </c>
      <c r="AP163" s="4">
        <v>1415</v>
      </c>
      <c r="AQ163" s="4" t="s">
        <v>389</v>
      </c>
      <c r="AR163" s="4" t="s">
        <v>390</v>
      </c>
      <c r="AS163" s="4" t="s">
        <v>391</v>
      </c>
      <c r="AT163" s="4" t="s">
        <v>49</v>
      </c>
    </row>
    <row r="164" spans="1:46" ht="60" x14ac:dyDescent="0.25">
      <c r="A164" s="4">
        <v>40565282</v>
      </c>
      <c r="B164" s="4" t="str">
        <f>""</f>
        <v/>
      </c>
      <c r="C164" s="4" t="str">
        <f t="shared" si="17"/>
        <v>700100070001</v>
      </c>
      <c r="D164" s="4">
        <v>18</v>
      </c>
      <c r="E164" s="4" t="s">
        <v>132</v>
      </c>
      <c r="F164" s="4" t="s">
        <v>316</v>
      </c>
      <c r="G164" s="4" t="str">
        <f>"PC1A0XLE"</f>
        <v>PC1A0XLE</v>
      </c>
      <c r="H164" s="4" t="str">
        <f>"THINKPAD T490"</f>
        <v>THINKPAD T490</v>
      </c>
      <c r="I164" s="4" t="str">
        <f>"LENOVO"</f>
        <v>LENOVO</v>
      </c>
      <c r="J164" s="4"/>
      <c r="K164" s="4"/>
      <c r="L164" s="4">
        <v>1194</v>
      </c>
      <c r="M164" s="4"/>
      <c r="N164" s="4" t="s">
        <v>113</v>
      </c>
      <c r="O164" s="4" t="s">
        <v>255</v>
      </c>
      <c r="P164" s="4" t="s">
        <v>392</v>
      </c>
      <c r="Q164" s="4" t="s">
        <v>54</v>
      </c>
      <c r="R164" s="4" t="s">
        <v>55</v>
      </c>
      <c r="S164" s="4" t="s">
        <v>56</v>
      </c>
      <c r="T164" s="4">
        <v>6</v>
      </c>
      <c r="U164" s="4" t="s">
        <v>57</v>
      </c>
      <c r="V164" s="4">
        <v>97459</v>
      </c>
      <c r="W164" s="4" t="s">
        <v>58</v>
      </c>
      <c r="X164" s="4">
        <v>1717662512</v>
      </c>
      <c r="Y164" s="4" t="s">
        <v>71</v>
      </c>
      <c r="Z164" s="4" t="s">
        <v>55</v>
      </c>
      <c r="AA164" s="4" t="s">
        <v>116</v>
      </c>
      <c r="AB164" s="4" t="s">
        <v>61</v>
      </c>
      <c r="AC164" s="4" t="s">
        <v>73</v>
      </c>
      <c r="AD164" s="4" t="s">
        <v>62</v>
      </c>
      <c r="AE164" s="4" t="s">
        <v>55</v>
      </c>
      <c r="AF164" s="4" t="s">
        <v>55</v>
      </c>
      <c r="AG164" s="4" t="s">
        <v>393</v>
      </c>
      <c r="AH164" s="4">
        <v>0</v>
      </c>
      <c r="AI164" s="4" t="s">
        <v>312</v>
      </c>
      <c r="AJ164" s="4" t="s">
        <v>55</v>
      </c>
      <c r="AK164" s="5">
        <v>45967</v>
      </c>
      <c r="AL164" s="6">
        <v>45967</v>
      </c>
      <c r="AM164" s="6">
        <v>46081</v>
      </c>
      <c r="AN164" s="4">
        <v>3</v>
      </c>
      <c r="AO164" s="6">
        <v>47061</v>
      </c>
      <c r="AP164" s="4">
        <v>1194</v>
      </c>
      <c r="AQ164" s="4" t="s">
        <v>394</v>
      </c>
      <c r="AR164" s="4" t="s">
        <v>395</v>
      </c>
      <c r="AS164" s="4" t="s">
        <v>396</v>
      </c>
      <c r="AT164" s="4" t="s">
        <v>49</v>
      </c>
    </row>
    <row r="165" spans="1:46" ht="60" x14ac:dyDescent="0.25">
      <c r="A165" s="4">
        <v>40565758</v>
      </c>
      <c r="B165" s="4" t="str">
        <f>""</f>
        <v/>
      </c>
      <c r="C165" s="4" t="str">
        <f t="shared" si="17"/>
        <v>700100070001</v>
      </c>
      <c r="D165" s="4">
        <v>32</v>
      </c>
      <c r="E165" s="4" t="s">
        <v>132</v>
      </c>
      <c r="F165" s="4" t="s">
        <v>316</v>
      </c>
      <c r="G165" s="4" t="str">
        <f>"SPC1EWQVW"</f>
        <v>SPC1EWQVW</v>
      </c>
      <c r="H165" s="4" t="str">
        <f>"THINKPAD T490"</f>
        <v>THINKPAD T490</v>
      </c>
      <c r="I165" s="4" t="str">
        <f>"LENOVO"</f>
        <v>LENOVO</v>
      </c>
      <c r="J165" s="4"/>
      <c r="K165" s="4"/>
      <c r="L165" s="4">
        <v>1183</v>
      </c>
      <c r="M165" s="4"/>
      <c r="N165" s="4" t="s">
        <v>113</v>
      </c>
      <c r="O165" s="4" t="s">
        <v>255</v>
      </c>
      <c r="P165" s="4" t="s">
        <v>392</v>
      </c>
      <c r="Q165" s="4" t="s">
        <v>54</v>
      </c>
      <c r="R165" s="4" t="s">
        <v>55</v>
      </c>
      <c r="S165" s="4" t="s">
        <v>56</v>
      </c>
      <c r="T165" s="4">
        <v>6</v>
      </c>
      <c r="U165" s="4" t="s">
        <v>57</v>
      </c>
      <c r="V165" s="4">
        <v>97459</v>
      </c>
      <c r="W165" s="4" t="s">
        <v>58</v>
      </c>
      <c r="X165" s="4">
        <v>1717662512</v>
      </c>
      <c r="Y165" s="4" t="s">
        <v>71</v>
      </c>
      <c r="Z165" s="4" t="s">
        <v>55</v>
      </c>
      <c r="AA165" s="4" t="s">
        <v>116</v>
      </c>
      <c r="AB165" s="4" t="s">
        <v>61</v>
      </c>
      <c r="AC165" s="4" t="s">
        <v>73</v>
      </c>
      <c r="AD165" s="4" t="s">
        <v>62</v>
      </c>
      <c r="AE165" s="4" t="s">
        <v>55</v>
      </c>
      <c r="AF165" s="4" t="s">
        <v>55</v>
      </c>
      <c r="AG165" s="4" t="s">
        <v>397</v>
      </c>
      <c r="AH165" s="4">
        <v>0</v>
      </c>
      <c r="AI165" s="4" t="s">
        <v>312</v>
      </c>
      <c r="AJ165" s="4" t="s">
        <v>55</v>
      </c>
      <c r="AK165" s="5">
        <v>45967</v>
      </c>
      <c r="AL165" s="6">
        <v>45967</v>
      </c>
      <c r="AM165" s="6">
        <v>46081</v>
      </c>
      <c r="AN165" s="4">
        <v>3</v>
      </c>
      <c r="AO165" s="6">
        <v>47061</v>
      </c>
      <c r="AP165" s="4">
        <v>1183</v>
      </c>
      <c r="AQ165" s="4" t="s">
        <v>398</v>
      </c>
      <c r="AR165" s="4" t="s">
        <v>399</v>
      </c>
      <c r="AS165" s="4" t="s">
        <v>400</v>
      </c>
      <c r="AT165" s="4" t="s">
        <v>49</v>
      </c>
    </row>
    <row r="166" spans="1:46" ht="60" x14ac:dyDescent="0.25">
      <c r="A166" s="4">
        <v>40569016</v>
      </c>
      <c r="B166" s="4" t="str">
        <f>""</f>
        <v/>
      </c>
      <c r="C166" s="4" t="str">
        <f t="shared" si="17"/>
        <v>700100070001</v>
      </c>
      <c r="D166" s="4">
        <v>34</v>
      </c>
      <c r="E166" s="4" t="s">
        <v>132</v>
      </c>
      <c r="F166" s="4" t="s">
        <v>316</v>
      </c>
      <c r="G166" s="4" t="str">
        <f>"SPC1EWQWS"</f>
        <v>SPC1EWQWS</v>
      </c>
      <c r="H166" s="4" t="str">
        <f>"THINKPAD T490"</f>
        <v>THINKPAD T490</v>
      </c>
      <c r="I166" s="4" t="str">
        <f>"LENOVO"</f>
        <v>LENOVO</v>
      </c>
      <c r="J166" s="4"/>
      <c r="K166" s="4"/>
      <c r="L166" s="4">
        <v>1183</v>
      </c>
      <c r="M166" s="4"/>
      <c r="N166" s="4" t="s">
        <v>113</v>
      </c>
      <c r="O166" s="4" t="s">
        <v>255</v>
      </c>
      <c r="P166" s="4" t="s">
        <v>392</v>
      </c>
      <c r="Q166" s="4" t="s">
        <v>54</v>
      </c>
      <c r="R166" s="4" t="s">
        <v>55</v>
      </c>
      <c r="S166" s="4" t="s">
        <v>56</v>
      </c>
      <c r="T166" s="4">
        <v>6</v>
      </c>
      <c r="U166" s="4" t="s">
        <v>57</v>
      </c>
      <c r="V166" s="4">
        <v>97459</v>
      </c>
      <c r="W166" s="4" t="s">
        <v>58</v>
      </c>
      <c r="X166" s="4">
        <v>1717662512</v>
      </c>
      <c r="Y166" s="4" t="s">
        <v>71</v>
      </c>
      <c r="Z166" s="4" t="s">
        <v>55</v>
      </c>
      <c r="AA166" s="4" t="s">
        <v>116</v>
      </c>
      <c r="AB166" s="4" t="s">
        <v>61</v>
      </c>
      <c r="AC166" s="4" t="s">
        <v>73</v>
      </c>
      <c r="AD166" s="4" t="s">
        <v>62</v>
      </c>
      <c r="AE166" s="4" t="s">
        <v>55</v>
      </c>
      <c r="AF166" s="4" t="s">
        <v>55</v>
      </c>
      <c r="AG166" s="4" t="s">
        <v>401</v>
      </c>
      <c r="AH166" s="4">
        <v>0</v>
      </c>
      <c r="AI166" s="4" t="s">
        <v>312</v>
      </c>
      <c r="AJ166" s="4" t="s">
        <v>55</v>
      </c>
      <c r="AK166" s="5">
        <v>45968</v>
      </c>
      <c r="AL166" s="6">
        <v>45968</v>
      </c>
      <c r="AM166" s="6">
        <v>46081</v>
      </c>
      <c r="AN166" s="4">
        <v>3</v>
      </c>
      <c r="AO166" s="6">
        <v>47062</v>
      </c>
      <c r="AP166" s="4">
        <v>1183</v>
      </c>
      <c r="AQ166" s="4" t="s">
        <v>398</v>
      </c>
      <c r="AR166" s="4" t="s">
        <v>402</v>
      </c>
      <c r="AS166" s="4" t="s">
        <v>403</v>
      </c>
      <c r="AT166" s="4" t="s">
        <v>49</v>
      </c>
    </row>
    <row r="167" spans="1:46" ht="60" x14ac:dyDescent="0.25">
      <c r="A167" s="4">
        <v>40586259</v>
      </c>
      <c r="B167" s="4" t="str">
        <f>""</f>
        <v/>
      </c>
      <c r="C167" s="4" t="str">
        <f>"700100960001"</f>
        <v>700100960001</v>
      </c>
      <c r="D167" s="4">
        <v>74</v>
      </c>
      <c r="E167" s="4" t="s">
        <v>132</v>
      </c>
      <c r="F167" s="4" t="s">
        <v>404</v>
      </c>
      <c r="G167" s="4" t="str">
        <f>"1D7134"</f>
        <v>1D7134</v>
      </c>
      <c r="H167" s="4" t="str">
        <f>"BLACKWIRE 3220-C3220 USB-A"</f>
        <v>BLACKWIRE 3220-C3220 USB-A</v>
      </c>
      <c r="I167" s="4" t="str">
        <f>"PLANTRONICS"</f>
        <v>PLANTRONICS</v>
      </c>
      <c r="J167" s="4"/>
      <c r="K167" s="4"/>
      <c r="L167" s="4" t="s">
        <v>405</v>
      </c>
      <c r="M167" s="4"/>
      <c r="N167" s="4" t="s">
        <v>406</v>
      </c>
      <c r="O167" s="4" t="s">
        <v>255</v>
      </c>
      <c r="P167" s="4" t="s">
        <v>407</v>
      </c>
      <c r="Q167" s="4" t="s">
        <v>54</v>
      </c>
      <c r="R167" s="4" t="s">
        <v>55</v>
      </c>
      <c r="S167" s="4" t="s">
        <v>56</v>
      </c>
      <c r="T167" s="4">
        <v>6</v>
      </c>
      <c r="U167" s="4" t="s">
        <v>57</v>
      </c>
      <c r="V167" s="4">
        <v>97459</v>
      </c>
      <c r="W167" s="4" t="s">
        <v>58</v>
      </c>
      <c r="X167" s="4">
        <v>1717662512</v>
      </c>
      <c r="Y167" s="4" t="s">
        <v>71</v>
      </c>
      <c r="Z167" s="4" t="s">
        <v>55</v>
      </c>
      <c r="AA167" s="4" t="s">
        <v>116</v>
      </c>
      <c r="AB167" s="4" t="s">
        <v>61</v>
      </c>
      <c r="AC167" s="4" t="s">
        <v>73</v>
      </c>
      <c r="AD167" s="4" t="s">
        <v>62</v>
      </c>
      <c r="AE167" s="4" t="s">
        <v>55</v>
      </c>
      <c r="AF167" s="4" t="s">
        <v>55</v>
      </c>
      <c r="AG167" s="4" t="s">
        <v>408</v>
      </c>
      <c r="AH167" s="4">
        <v>0</v>
      </c>
      <c r="AI167" s="4" t="s">
        <v>312</v>
      </c>
      <c r="AJ167" s="4" t="s">
        <v>55</v>
      </c>
      <c r="AK167" s="5">
        <v>45972</v>
      </c>
      <c r="AL167" s="6">
        <v>45972</v>
      </c>
      <c r="AM167" s="6">
        <v>46081</v>
      </c>
      <c r="AN167" s="4">
        <v>3</v>
      </c>
      <c r="AO167" s="6">
        <v>47066</v>
      </c>
      <c r="AP167" s="4" t="s">
        <v>405</v>
      </c>
      <c r="AQ167" s="4" t="s">
        <v>409</v>
      </c>
      <c r="AR167" s="4" t="s">
        <v>410</v>
      </c>
      <c r="AS167" s="4" t="s">
        <v>411</v>
      </c>
      <c r="AT167" s="4" t="s">
        <v>49</v>
      </c>
    </row>
    <row r="168" spans="1:46" ht="60" x14ac:dyDescent="0.25">
      <c r="A168" s="4">
        <v>40582190</v>
      </c>
      <c r="B168" s="4" t="str">
        <f>""</f>
        <v/>
      </c>
      <c r="C168" s="4" t="str">
        <f>"700100440001"</f>
        <v>700100440001</v>
      </c>
      <c r="D168" s="4">
        <v>58</v>
      </c>
      <c r="E168" s="4" t="s">
        <v>132</v>
      </c>
      <c r="F168" s="4" t="s">
        <v>412</v>
      </c>
      <c r="G168" s="4" t="str">
        <f>"CNC9192TFN"</f>
        <v>CNC9192TFN</v>
      </c>
      <c r="H168" s="4" t="str">
        <f>"ELITEDISPLAY E243d 23,8"</f>
        <v>ELITEDISPLAY E243d 23,8</v>
      </c>
      <c r="I168" s="4" t="str">
        <f>"HP"</f>
        <v>HP</v>
      </c>
      <c r="J168" s="4"/>
      <c r="K168" s="4"/>
      <c r="L168" s="4">
        <v>298</v>
      </c>
      <c r="M168" s="4"/>
      <c r="N168" s="4" t="s">
        <v>233</v>
      </c>
      <c r="O168" s="4" t="s">
        <v>255</v>
      </c>
      <c r="P168" s="4" t="s">
        <v>413</v>
      </c>
      <c r="Q168" s="4" t="s">
        <v>54</v>
      </c>
      <c r="R168" s="4" t="s">
        <v>55</v>
      </c>
      <c r="S168" s="4" t="s">
        <v>56</v>
      </c>
      <c r="T168" s="4">
        <v>6</v>
      </c>
      <c r="U168" s="4" t="s">
        <v>57</v>
      </c>
      <c r="V168" s="4">
        <v>97459</v>
      </c>
      <c r="W168" s="4" t="s">
        <v>58</v>
      </c>
      <c r="X168" s="4">
        <v>1722641816</v>
      </c>
      <c r="Y168" s="4" t="s">
        <v>222</v>
      </c>
      <c r="Z168" s="4" t="s">
        <v>55</v>
      </c>
      <c r="AA168" s="4" t="s">
        <v>116</v>
      </c>
      <c r="AB168" s="4" t="s">
        <v>61</v>
      </c>
      <c r="AC168" s="4" t="s">
        <v>73</v>
      </c>
      <c r="AD168" s="4" t="s">
        <v>62</v>
      </c>
      <c r="AE168" s="4" t="s">
        <v>55</v>
      </c>
      <c r="AF168" s="4" t="s">
        <v>55</v>
      </c>
      <c r="AG168" s="4" t="s">
        <v>414</v>
      </c>
      <c r="AH168" s="4">
        <v>0</v>
      </c>
      <c r="AI168" s="4" t="s">
        <v>312</v>
      </c>
      <c r="AJ168" s="4" t="s">
        <v>55</v>
      </c>
      <c r="AK168" s="5">
        <v>45971</v>
      </c>
      <c r="AL168" s="6">
        <v>45971</v>
      </c>
      <c r="AM168" s="6">
        <v>46081</v>
      </c>
      <c r="AN168" s="4">
        <v>3</v>
      </c>
      <c r="AO168" s="6">
        <v>47065</v>
      </c>
      <c r="AP168" s="4">
        <v>298</v>
      </c>
      <c r="AQ168" s="4" t="s">
        <v>415</v>
      </c>
      <c r="AR168" s="4" t="s">
        <v>416</v>
      </c>
      <c r="AS168" s="4" t="s">
        <v>417</v>
      </c>
      <c r="AT168" s="4" t="s">
        <v>49</v>
      </c>
    </row>
    <row r="169" spans="1:46" ht="60" x14ac:dyDescent="0.25">
      <c r="A169" s="4">
        <v>40588668</v>
      </c>
      <c r="B169" s="4" t="str">
        <f>""</f>
        <v/>
      </c>
      <c r="C169" s="4" t="str">
        <f>"700100960001"</f>
        <v>700100960001</v>
      </c>
      <c r="D169" s="4">
        <v>84</v>
      </c>
      <c r="E169" s="4" t="s">
        <v>132</v>
      </c>
      <c r="F169" s="4" t="s">
        <v>404</v>
      </c>
      <c r="G169" s="4" t="str">
        <f>"2V1H5V"</f>
        <v>2V1H5V</v>
      </c>
      <c r="H169" s="4" t="str">
        <f>"BLACKWIRE 3220-C3220 USB-A"</f>
        <v>BLACKWIRE 3220-C3220 USB-A</v>
      </c>
      <c r="I169" s="4" t="str">
        <f>"PLANTRONICS"</f>
        <v>PLANTRONICS</v>
      </c>
      <c r="J169" s="4"/>
      <c r="K169" s="4"/>
      <c r="L169" s="4" t="s">
        <v>418</v>
      </c>
      <c r="M169" s="4"/>
      <c r="N169" s="4" t="s">
        <v>406</v>
      </c>
      <c r="O169" s="4" t="s">
        <v>255</v>
      </c>
      <c r="P169" s="4" t="s">
        <v>407</v>
      </c>
      <c r="Q169" s="4" t="s">
        <v>54</v>
      </c>
      <c r="R169" s="4" t="s">
        <v>55</v>
      </c>
      <c r="S169" s="4" t="s">
        <v>56</v>
      </c>
      <c r="T169" s="4">
        <v>6</v>
      </c>
      <c r="U169" s="4" t="s">
        <v>57</v>
      </c>
      <c r="V169" s="4">
        <v>97459</v>
      </c>
      <c r="W169" s="4" t="s">
        <v>58</v>
      </c>
      <c r="X169" s="4">
        <v>1717662512</v>
      </c>
      <c r="Y169" s="4" t="s">
        <v>71</v>
      </c>
      <c r="Z169" s="4" t="s">
        <v>55</v>
      </c>
      <c r="AA169" s="4" t="s">
        <v>116</v>
      </c>
      <c r="AB169" s="4" t="s">
        <v>61</v>
      </c>
      <c r="AC169" s="4" t="s">
        <v>73</v>
      </c>
      <c r="AD169" s="4" t="s">
        <v>62</v>
      </c>
      <c r="AE169" s="4" t="s">
        <v>55</v>
      </c>
      <c r="AF169" s="4" t="s">
        <v>55</v>
      </c>
      <c r="AG169" s="4" t="s">
        <v>419</v>
      </c>
      <c r="AH169" s="4">
        <v>0</v>
      </c>
      <c r="AI169" s="4" t="s">
        <v>312</v>
      </c>
      <c r="AJ169" s="4" t="s">
        <v>55</v>
      </c>
      <c r="AK169" s="5">
        <v>45973</v>
      </c>
      <c r="AL169" s="6">
        <v>45973</v>
      </c>
      <c r="AM169" s="6">
        <v>46081</v>
      </c>
      <c r="AN169" s="4">
        <v>3</v>
      </c>
      <c r="AO169" s="6">
        <v>47067</v>
      </c>
      <c r="AP169" s="4" t="s">
        <v>418</v>
      </c>
      <c r="AQ169" s="4" t="s">
        <v>420</v>
      </c>
      <c r="AR169" s="4" t="s">
        <v>421</v>
      </c>
      <c r="AS169" s="4" t="s">
        <v>422</v>
      </c>
      <c r="AT169" s="4" t="s">
        <v>49</v>
      </c>
    </row>
    <row r="170" spans="1:46" ht="75" x14ac:dyDescent="0.25">
      <c r="A170" s="4">
        <v>40631281</v>
      </c>
      <c r="B170" s="4" t="str">
        <f>""</f>
        <v/>
      </c>
      <c r="C170" s="4" t="str">
        <f>"700100070001"</f>
        <v>700100070001</v>
      </c>
      <c r="D170" s="4">
        <v>124</v>
      </c>
      <c r="E170" s="4" t="s">
        <v>132</v>
      </c>
      <c r="F170" s="4" t="s">
        <v>316</v>
      </c>
      <c r="G170" s="4" t="str">
        <f>"DBD4CS3"</f>
        <v>DBD4CS3</v>
      </c>
      <c r="H170" s="4" t="str">
        <f>"LATITUDE 3520"</f>
        <v>LATITUDE 3520</v>
      </c>
      <c r="I170" s="4" t="str">
        <f>"DELL"</f>
        <v>DELL</v>
      </c>
      <c r="J170" s="4"/>
      <c r="K170" s="4"/>
      <c r="L170" s="4">
        <v>1135</v>
      </c>
      <c r="M170" s="4"/>
      <c r="N170" s="4" t="s">
        <v>113</v>
      </c>
      <c r="O170" s="4" t="s">
        <v>114</v>
      </c>
      <c r="P170" s="4" t="s">
        <v>423</v>
      </c>
      <c r="Q170" s="4" t="s">
        <v>54</v>
      </c>
      <c r="R170" s="4" t="s">
        <v>55</v>
      </c>
      <c r="S170" s="4" t="s">
        <v>56</v>
      </c>
      <c r="T170" s="4">
        <v>6</v>
      </c>
      <c r="U170" s="4" t="s">
        <v>57</v>
      </c>
      <c r="V170" s="4">
        <v>97459</v>
      </c>
      <c r="W170" s="4" t="s">
        <v>58</v>
      </c>
      <c r="X170" s="4">
        <v>1717662512</v>
      </c>
      <c r="Y170" s="4" t="s">
        <v>71</v>
      </c>
      <c r="Z170" s="4" t="s">
        <v>55</v>
      </c>
      <c r="AA170" s="4" t="s">
        <v>116</v>
      </c>
      <c r="AB170" s="4" t="s">
        <v>61</v>
      </c>
      <c r="AC170" s="4" t="s">
        <v>73</v>
      </c>
      <c r="AD170" s="4" t="s">
        <v>62</v>
      </c>
      <c r="AE170" s="4" t="s">
        <v>55</v>
      </c>
      <c r="AF170" s="4" t="s">
        <v>55</v>
      </c>
      <c r="AG170" s="4" t="s">
        <v>424</v>
      </c>
      <c r="AH170" s="4">
        <v>0</v>
      </c>
      <c r="AI170" s="4" t="s">
        <v>312</v>
      </c>
      <c r="AJ170" s="4" t="s">
        <v>55</v>
      </c>
      <c r="AK170" s="5">
        <v>45985</v>
      </c>
      <c r="AL170" s="6">
        <v>45985</v>
      </c>
      <c r="AM170" s="6">
        <v>46081</v>
      </c>
      <c r="AN170" s="4">
        <v>3</v>
      </c>
      <c r="AO170" s="6">
        <v>47079</v>
      </c>
      <c r="AP170" s="4">
        <v>1225</v>
      </c>
      <c r="AQ170" s="4" t="s">
        <v>425</v>
      </c>
      <c r="AR170" s="4" t="s">
        <v>426</v>
      </c>
      <c r="AS170" s="4" t="s">
        <v>427</v>
      </c>
      <c r="AT170" s="4" t="s">
        <v>49</v>
      </c>
    </row>
    <row r="171" spans="1:46" ht="60" x14ac:dyDescent="0.25">
      <c r="A171" s="4">
        <v>40581310</v>
      </c>
      <c r="B171" s="4" t="str">
        <f>""</f>
        <v/>
      </c>
      <c r="C171" s="4" t="str">
        <f>"700100440001"</f>
        <v>700100440001</v>
      </c>
      <c r="D171" s="4">
        <v>50</v>
      </c>
      <c r="E171" s="4" t="s">
        <v>132</v>
      </c>
      <c r="F171" s="4" t="s">
        <v>412</v>
      </c>
      <c r="G171" s="4" t="str">
        <f>"CNC9192T5N"</f>
        <v>CNC9192T5N</v>
      </c>
      <c r="H171" s="4" t="str">
        <f>"ELITEDISPLAY E243D 23,8"</f>
        <v>ELITEDISPLAY E243D 23,8</v>
      </c>
      <c r="I171" s="4" t="str">
        <f>"HP"</f>
        <v>HP</v>
      </c>
      <c r="J171" s="4"/>
      <c r="K171" s="4"/>
      <c r="L171" s="4">
        <v>298</v>
      </c>
      <c r="M171" s="4"/>
      <c r="N171" s="4" t="s">
        <v>233</v>
      </c>
      <c r="O171" s="4" t="s">
        <v>255</v>
      </c>
      <c r="P171" s="4" t="s">
        <v>428</v>
      </c>
      <c r="Q171" s="4" t="s">
        <v>54</v>
      </c>
      <c r="R171" s="4" t="s">
        <v>55</v>
      </c>
      <c r="S171" s="4" t="s">
        <v>56</v>
      </c>
      <c r="T171" s="4">
        <v>6</v>
      </c>
      <c r="U171" s="4" t="s">
        <v>57</v>
      </c>
      <c r="V171" s="4">
        <v>97459</v>
      </c>
      <c r="W171" s="4" t="s">
        <v>58</v>
      </c>
      <c r="X171" s="4">
        <v>1717662512</v>
      </c>
      <c r="Y171" s="4" t="s">
        <v>71</v>
      </c>
      <c r="Z171" s="4" t="s">
        <v>55</v>
      </c>
      <c r="AA171" s="4" t="s">
        <v>116</v>
      </c>
      <c r="AB171" s="4" t="s">
        <v>61</v>
      </c>
      <c r="AC171" s="4" t="s">
        <v>73</v>
      </c>
      <c r="AD171" s="4" t="s">
        <v>62</v>
      </c>
      <c r="AE171" s="4" t="s">
        <v>55</v>
      </c>
      <c r="AF171" s="4" t="s">
        <v>55</v>
      </c>
      <c r="AG171" s="4" t="s">
        <v>429</v>
      </c>
      <c r="AH171" s="4">
        <v>0</v>
      </c>
      <c r="AI171" s="4" t="s">
        <v>312</v>
      </c>
      <c r="AJ171" s="4" t="s">
        <v>55</v>
      </c>
      <c r="AK171" s="5">
        <v>45971</v>
      </c>
      <c r="AL171" s="6">
        <v>45971</v>
      </c>
      <c r="AM171" s="6">
        <v>46081</v>
      </c>
      <c r="AN171" s="4">
        <v>3</v>
      </c>
      <c r="AO171" s="6">
        <v>47065</v>
      </c>
      <c r="AP171" s="4">
        <v>298</v>
      </c>
      <c r="AQ171" s="4" t="s">
        <v>415</v>
      </c>
      <c r="AR171" s="4" t="s">
        <v>416</v>
      </c>
      <c r="AS171" s="4" t="s">
        <v>417</v>
      </c>
      <c r="AT171" s="4" t="s">
        <v>49</v>
      </c>
    </row>
    <row r="172" spans="1:46" ht="60" x14ac:dyDescent="0.25">
      <c r="A172" s="4">
        <v>40570827</v>
      </c>
      <c r="B172" s="4" t="str">
        <f>""</f>
        <v/>
      </c>
      <c r="C172" s="4" t="str">
        <f>"700100070001"</f>
        <v>700100070001</v>
      </c>
      <c r="D172" s="4">
        <v>37</v>
      </c>
      <c r="E172" s="4" t="s">
        <v>132</v>
      </c>
      <c r="F172" s="4" t="s">
        <v>316</v>
      </c>
      <c r="G172" s="4" t="str">
        <f>"SPC1EWQWL"</f>
        <v>SPC1EWQWL</v>
      </c>
      <c r="H172" s="4" t="str">
        <f>"THINKPAD T490"</f>
        <v>THINKPAD T490</v>
      </c>
      <c r="I172" s="4" t="str">
        <f>"LENOVO"</f>
        <v>LENOVO</v>
      </c>
      <c r="J172" s="4"/>
      <c r="K172" s="4"/>
      <c r="L172" s="4">
        <v>1183</v>
      </c>
      <c r="M172" s="4"/>
      <c r="N172" s="4" t="s">
        <v>113</v>
      </c>
      <c r="O172" s="4" t="s">
        <v>255</v>
      </c>
      <c r="P172" s="4" t="s">
        <v>392</v>
      </c>
      <c r="Q172" s="4" t="s">
        <v>54</v>
      </c>
      <c r="R172" s="4" t="s">
        <v>55</v>
      </c>
      <c r="S172" s="4" t="s">
        <v>56</v>
      </c>
      <c r="T172" s="4">
        <v>6</v>
      </c>
      <c r="U172" s="4" t="s">
        <v>57</v>
      </c>
      <c r="V172" s="4">
        <v>97459</v>
      </c>
      <c r="W172" s="4" t="s">
        <v>58</v>
      </c>
      <c r="X172" s="4">
        <v>1717662512</v>
      </c>
      <c r="Y172" s="4" t="s">
        <v>71</v>
      </c>
      <c r="Z172" s="4" t="s">
        <v>55</v>
      </c>
      <c r="AA172" s="4" t="s">
        <v>116</v>
      </c>
      <c r="AB172" s="4" t="s">
        <v>61</v>
      </c>
      <c r="AC172" s="4" t="s">
        <v>73</v>
      </c>
      <c r="AD172" s="4" t="s">
        <v>62</v>
      </c>
      <c r="AE172" s="4" t="s">
        <v>55</v>
      </c>
      <c r="AF172" s="4" t="s">
        <v>55</v>
      </c>
      <c r="AG172" s="4" t="s">
        <v>430</v>
      </c>
      <c r="AH172" s="4">
        <v>0</v>
      </c>
      <c r="AI172" s="4" t="s">
        <v>312</v>
      </c>
      <c r="AJ172" s="4" t="s">
        <v>55</v>
      </c>
      <c r="AK172" s="5">
        <v>45968</v>
      </c>
      <c r="AL172" s="6">
        <v>45968</v>
      </c>
      <c r="AM172" s="6">
        <v>46081</v>
      </c>
      <c r="AN172" s="4">
        <v>3</v>
      </c>
      <c r="AO172" s="6">
        <v>47062</v>
      </c>
      <c r="AP172" s="4">
        <v>1183</v>
      </c>
      <c r="AQ172" s="4" t="s">
        <v>398</v>
      </c>
      <c r="AR172" s="4" t="s">
        <v>402</v>
      </c>
      <c r="AS172" s="4" t="s">
        <v>403</v>
      </c>
      <c r="AT172" s="4" t="s">
        <v>49</v>
      </c>
    </row>
    <row r="173" spans="1:46" ht="60" x14ac:dyDescent="0.25">
      <c r="A173" s="4">
        <v>40588663</v>
      </c>
      <c r="B173" s="4" t="str">
        <f>""</f>
        <v/>
      </c>
      <c r="C173" s="4" t="str">
        <f>"700100960001"</f>
        <v>700100960001</v>
      </c>
      <c r="D173" s="4">
        <v>83</v>
      </c>
      <c r="E173" s="4" t="s">
        <v>132</v>
      </c>
      <c r="F173" s="4" t="s">
        <v>404</v>
      </c>
      <c r="G173" s="4" t="str">
        <f>"2RAPCU"</f>
        <v>2RAPCU</v>
      </c>
      <c r="H173" s="4" t="str">
        <f>"BLACKWIRE 3220-C3220 USB-A"</f>
        <v>BLACKWIRE 3220-C3220 USB-A</v>
      </c>
      <c r="I173" s="4" t="str">
        <f>"PLANTRONICS"</f>
        <v>PLANTRONICS</v>
      </c>
      <c r="J173" s="4"/>
      <c r="K173" s="4"/>
      <c r="L173" s="4" t="s">
        <v>405</v>
      </c>
      <c r="M173" s="4"/>
      <c r="N173" s="4" t="s">
        <v>406</v>
      </c>
      <c r="O173" s="4" t="s">
        <v>255</v>
      </c>
      <c r="P173" s="4" t="s">
        <v>407</v>
      </c>
      <c r="Q173" s="4" t="s">
        <v>54</v>
      </c>
      <c r="R173" s="4" t="s">
        <v>55</v>
      </c>
      <c r="S173" s="4" t="s">
        <v>56</v>
      </c>
      <c r="T173" s="4">
        <v>6</v>
      </c>
      <c r="U173" s="4" t="s">
        <v>57</v>
      </c>
      <c r="V173" s="4">
        <v>97459</v>
      </c>
      <c r="W173" s="4" t="s">
        <v>58</v>
      </c>
      <c r="X173" s="4">
        <v>1717662512</v>
      </c>
      <c r="Y173" s="4" t="s">
        <v>71</v>
      </c>
      <c r="Z173" s="4" t="s">
        <v>55</v>
      </c>
      <c r="AA173" s="4" t="s">
        <v>116</v>
      </c>
      <c r="AB173" s="4" t="s">
        <v>61</v>
      </c>
      <c r="AC173" s="4" t="s">
        <v>73</v>
      </c>
      <c r="AD173" s="4" t="s">
        <v>62</v>
      </c>
      <c r="AE173" s="4" t="s">
        <v>55</v>
      </c>
      <c r="AF173" s="4" t="s">
        <v>55</v>
      </c>
      <c r="AG173" s="4" t="s">
        <v>431</v>
      </c>
      <c r="AH173" s="4">
        <v>0</v>
      </c>
      <c r="AI173" s="4" t="s">
        <v>312</v>
      </c>
      <c r="AJ173" s="4" t="s">
        <v>55</v>
      </c>
      <c r="AK173" s="5">
        <v>45973</v>
      </c>
      <c r="AL173" s="6">
        <v>45973</v>
      </c>
      <c r="AM173" s="6">
        <v>46081</v>
      </c>
      <c r="AN173" s="4">
        <v>3</v>
      </c>
      <c r="AO173" s="6">
        <v>47067</v>
      </c>
      <c r="AP173" s="4" t="s">
        <v>405</v>
      </c>
      <c r="AQ173" s="4" t="s">
        <v>409</v>
      </c>
      <c r="AR173" s="4" t="s">
        <v>432</v>
      </c>
      <c r="AS173" s="4" t="s">
        <v>433</v>
      </c>
      <c r="AT173" s="4" t="s">
        <v>49</v>
      </c>
    </row>
    <row r="174" spans="1:46" ht="60" x14ac:dyDescent="0.25">
      <c r="A174" s="4">
        <v>40580507</v>
      </c>
      <c r="B174" s="4" t="str">
        <f>""</f>
        <v/>
      </c>
      <c r="C174" s="4" t="str">
        <f>"700100440001"</f>
        <v>700100440001</v>
      </c>
      <c r="D174" s="4">
        <v>48</v>
      </c>
      <c r="E174" s="4" t="s">
        <v>132</v>
      </c>
      <c r="F174" s="4" t="s">
        <v>412</v>
      </c>
      <c r="G174" s="4" t="str">
        <f>"CNC9192TFD"</f>
        <v>CNC9192TFD</v>
      </c>
      <c r="H174" s="4" t="str">
        <f>"ELITEDISPLAY E243D 23,8"</f>
        <v>ELITEDISPLAY E243D 23,8</v>
      </c>
      <c r="I174" s="4" t="str">
        <f>"HP"</f>
        <v>HP</v>
      </c>
      <c r="J174" s="4"/>
      <c r="K174" s="4"/>
      <c r="L174" s="4">
        <v>298</v>
      </c>
      <c r="M174" s="4"/>
      <c r="N174" s="4" t="s">
        <v>233</v>
      </c>
      <c r="O174" s="4" t="s">
        <v>255</v>
      </c>
      <c r="P174" s="4" t="s">
        <v>428</v>
      </c>
      <c r="Q174" s="4" t="s">
        <v>54</v>
      </c>
      <c r="R174" s="4" t="s">
        <v>55</v>
      </c>
      <c r="S174" s="4" t="s">
        <v>56</v>
      </c>
      <c r="T174" s="4">
        <v>6</v>
      </c>
      <c r="U174" s="4" t="s">
        <v>57</v>
      </c>
      <c r="V174" s="4">
        <v>97459</v>
      </c>
      <c r="W174" s="4" t="s">
        <v>58</v>
      </c>
      <c r="X174" s="4">
        <v>1717662512</v>
      </c>
      <c r="Y174" s="4" t="s">
        <v>71</v>
      </c>
      <c r="Z174" s="4" t="s">
        <v>55</v>
      </c>
      <c r="AA174" s="4" t="s">
        <v>116</v>
      </c>
      <c r="AB174" s="4" t="s">
        <v>61</v>
      </c>
      <c r="AC174" s="4" t="s">
        <v>73</v>
      </c>
      <c r="AD174" s="4" t="s">
        <v>62</v>
      </c>
      <c r="AE174" s="4" t="s">
        <v>55</v>
      </c>
      <c r="AF174" s="4" t="s">
        <v>55</v>
      </c>
      <c r="AG174" s="4" t="s">
        <v>434</v>
      </c>
      <c r="AH174" s="4">
        <v>0</v>
      </c>
      <c r="AI174" s="4" t="s">
        <v>312</v>
      </c>
      <c r="AJ174" s="4" t="s">
        <v>55</v>
      </c>
      <c r="AK174" s="5">
        <v>45971</v>
      </c>
      <c r="AL174" s="6">
        <v>45971</v>
      </c>
      <c r="AM174" s="6">
        <v>46081</v>
      </c>
      <c r="AN174" s="4">
        <v>1</v>
      </c>
      <c r="AO174" s="6">
        <v>46335</v>
      </c>
      <c r="AP174" s="4">
        <v>298</v>
      </c>
      <c r="AQ174" s="4" t="s">
        <v>415</v>
      </c>
      <c r="AR174" s="4" t="s">
        <v>435</v>
      </c>
      <c r="AS174" s="4" t="s">
        <v>436</v>
      </c>
      <c r="AT174" s="4" t="s">
        <v>49</v>
      </c>
    </row>
    <row r="175" spans="1:46" ht="75" x14ac:dyDescent="0.25">
      <c r="A175" s="4">
        <v>40631278</v>
      </c>
      <c r="B175" s="4" t="str">
        <f>""</f>
        <v/>
      </c>
      <c r="C175" s="4" t="str">
        <f>"700100070001"</f>
        <v>700100070001</v>
      </c>
      <c r="D175" s="4">
        <v>123</v>
      </c>
      <c r="E175" s="4" t="s">
        <v>132</v>
      </c>
      <c r="F175" s="4" t="s">
        <v>316</v>
      </c>
      <c r="G175" s="4" t="str">
        <f>"CBD4CS3"</f>
        <v>CBD4CS3</v>
      </c>
      <c r="H175" s="4" t="str">
        <f>"LATITUDE 3520"</f>
        <v>LATITUDE 3520</v>
      </c>
      <c r="I175" s="4" t="str">
        <f>"DELL"</f>
        <v>DELL</v>
      </c>
      <c r="J175" s="4"/>
      <c r="K175" s="4"/>
      <c r="L175" s="4">
        <v>1135</v>
      </c>
      <c r="M175" s="4"/>
      <c r="N175" s="4" t="s">
        <v>113</v>
      </c>
      <c r="O175" s="4" t="s">
        <v>114</v>
      </c>
      <c r="P175" s="4" t="s">
        <v>423</v>
      </c>
      <c r="Q175" s="4" t="s">
        <v>54</v>
      </c>
      <c r="R175" s="4" t="s">
        <v>55</v>
      </c>
      <c r="S175" s="4" t="s">
        <v>56</v>
      </c>
      <c r="T175" s="4">
        <v>6</v>
      </c>
      <c r="U175" s="4" t="s">
        <v>57</v>
      </c>
      <c r="V175" s="4">
        <v>97459</v>
      </c>
      <c r="W175" s="4" t="s">
        <v>58</v>
      </c>
      <c r="X175" s="4">
        <v>1717662512</v>
      </c>
      <c r="Y175" s="4" t="s">
        <v>71</v>
      </c>
      <c r="Z175" s="4" t="s">
        <v>55</v>
      </c>
      <c r="AA175" s="4" t="s">
        <v>116</v>
      </c>
      <c r="AB175" s="4" t="s">
        <v>61</v>
      </c>
      <c r="AC175" s="4" t="s">
        <v>73</v>
      </c>
      <c r="AD175" s="4" t="s">
        <v>62</v>
      </c>
      <c r="AE175" s="4" t="s">
        <v>55</v>
      </c>
      <c r="AF175" s="4" t="s">
        <v>55</v>
      </c>
      <c r="AG175" s="4" t="s">
        <v>437</v>
      </c>
      <c r="AH175" s="4">
        <v>0</v>
      </c>
      <c r="AI175" s="4" t="s">
        <v>312</v>
      </c>
      <c r="AJ175" s="4" t="s">
        <v>55</v>
      </c>
      <c r="AK175" s="5">
        <v>45985</v>
      </c>
      <c r="AL175" s="6">
        <v>45985</v>
      </c>
      <c r="AM175" s="6">
        <v>46081</v>
      </c>
      <c r="AN175" s="4">
        <v>3</v>
      </c>
      <c r="AO175" s="6">
        <v>47079</v>
      </c>
      <c r="AP175" s="4">
        <v>1225</v>
      </c>
      <c r="AQ175" s="4" t="s">
        <v>425</v>
      </c>
      <c r="AR175" s="4" t="s">
        <v>426</v>
      </c>
      <c r="AS175" s="4" t="s">
        <v>427</v>
      </c>
      <c r="AT175" s="4" t="s">
        <v>49</v>
      </c>
    </row>
    <row r="176" spans="1:46" ht="60" x14ac:dyDescent="0.25">
      <c r="A176" s="4">
        <v>40581988</v>
      </c>
      <c r="B176" s="4" t="str">
        <f>""</f>
        <v/>
      </c>
      <c r="C176" s="4" t="str">
        <f>"700100440001"</f>
        <v>700100440001</v>
      </c>
      <c r="D176" s="4">
        <v>55</v>
      </c>
      <c r="E176" s="4" t="s">
        <v>132</v>
      </c>
      <c r="F176" s="4" t="s">
        <v>412</v>
      </c>
      <c r="G176" s="4" t="str">
        <f>"CNC9192TFP"</f>
        <v>CNC9192TFP</v>
      </c>
      <c r="H176" s="4" t="str">
        <f>"ELITEDISPLAY E243d 23,8"</f>
        <v>ELITEDISPLAY E243d 23,8</v>
      </c>
      <c r="I176" s="4" t="str">
        <f>"HP"</f>
        <v>HP</v>
      </c>
      <c r="J176" s="4"/>
      <c r="K176" s="4"/>
      <c r="L176" s="4">
        <v>298</v>
      </c>
      <c r="M176" s="4"/>
      <c r="N176" s="4" t="s">
        <v>233</v>
      </c>
      <c r="O176" s="4" t="s">
        <v>255</v>
      </c>
      <c r="P176" s="4" t="s">
        <v>413</v>
      </c>
      <c r="Q176" s="4" t="s">
        <v>54</v>
      </c>
      <c r="R176" s="4" t="s">
        <v>55</v>
      </c>
      <c r="S176" s="4" t="s">
        <v>56</v>
      </c>
      <c r="T176" s="4">
        <v>6</v>
      </c>
      <c r="U176" s="4" t="s">
        <v>57</v>
      </c>
      <c r="V176" s="4">
        <v>97459</v>
      </c>
      <c r="W176" s="4" t="s">
        <v>58</v>
      </c>
      <c r="X176" s="4">
        <v>1717662512</v>
      </c>
      <c r="Y176" s="4" t="s">
        <v>71</v>
      </c>
      <c r="Z176" s="4" t="s">
        <v>55</v>
      </c>
      <c r="AA176" s="4" t="s">
        <v>116</v>
      </c>
      <c r="AB176" s="4" t="s">
        <v>61</v>
      </c>
      <c r="AC176" s="4" t="s">
        <v>73</v>
      </c>
      <c r="AD176" s="4" t="s">
        <v>62</v>
      </c>
      <c r="AE176" s="4" t="s">
        <v>55</v>
      </c>
      <c r="AF176" s="4" t="s">
        <v>55</v>
      </c>
      <c r="AG176" s="4" t="s">
        <v>438</v>
      </c>
      <c r="AH176" s="4">
        <v>0</v>
      </c>
      <c r="AI176" s="4" t="s">
        <v>312</v>
      </c>
      <c r="AJ176" s="4" t="s">
        <v>55</v>
      </c>
      <c r="AK176" s="5">
        <v>45971</v>
      </c>
      <c r="AL176" s="6">
        <v>45971</v>
      </c>
      <c r="AM176" s="6">
        <v>46081</v>
      </c>
      <c r="AN176" s="4">
        <v>3</v>
      </c>
      <c r="AO176" s="6">
        <v>47065</v>
      </c>
      <c r="AP176" s="4">
        <v>298</v>
      </c>
      <c r="AQ176" s="4" t="s">
        <v>415</v>
      </c>
      <c r="AR176" s="4" t="s">
        <v>416</v>
      </c>
      <c r="AS176" s="4" t="s">
        <v>417</v>
      </c>
      <c r="AT176" s="4" t="s">
        <v>49</v>
      </c>
    </row>
    <row r="177" spans="1:46" ht="75" x14ac:dyDescent="0.25">
      <c r="A177" s="4">
        <v>40631042</v>
      </c>
      <c r="B177" s="4" t="str">
        <f>""</f>
        <v/>
      </c>
      <c r="C177" s="4" t="str">
        <f>"700100070001"</f>
        <v>700100070001</v>
      </c>
      <c r="D177" s="4">
        <v>116</v>
      </c>
      <c r="E177" s="4" t="s">
        <v>132</v>
      </c>
      <c r="F177" s="4" t="s">
        <v>316</v>
      </c>
      <c r="G177" s="4" t="str">
        <f>"1B6ZGS3"</f>
        <v>1B6ZGS3</v>
      </c>
      <c r="H177" s="4" t="str">
        <f>"LATITUDE 3520"</f>
        <v>LATITUDE 3520</v>
      </c>
      <c r="I177" s="4" t="str">
        <f>"DELL"</f>
        <v>DELL</v>
      </c>
      <c r="J177" s="4"/>
      <c r="K177" s="4"/>
      <c r="L177" s="4">
        <v>1135</v>
      </c>
      <c r="M177" s="4"/>
      <c r="N177" s="4" t="s">
        <v>113</v>
      </c>
      <c r="O177" s="4" t="s">
        <v>114</v>
      </c>
      <c r="P177" s="4" t="s">
        <v>423</v>
      </c>
      <c r="Q177" s="4" t="s">
        <v>54</v>
      </c>
      <c r="R177" s="4" t="s">
        <v>55</v>
      </c>
      <c r="S177" s="4" t="s">
        <v>56</v>
      </c>
      <c r="T177" s="4">
        <v>6</v>
      </c>
      <c r="U177" s="4" t="s">
        <v>57</v>
      </c>
      <c r="V177" s="4">
        <v>97459</v>
      </c>
      <c r="W177" s="4" t="s">
        <v>58</v>
      </c>
      <c r="X177" s="4">
        <v>1717662512</v>
      </c>
      <c r="Y177" s="4" t="s">
        <v>71</v>
      </c>
      <c r="Z177" s="4" t="s">
        <v>55</v>
      </c>
      <c r="AA177" s="4" t="s">
        <v>116</v>
      </c>
      <c r="AB177" s="4" t="s">
        <v>61</v>
      </c>
      <c r="AC177" s="4" t="s">
        <v>73</v>
      </c>
      <c r="AD177" s="4" t="s">
        <v>62</v>
      </c>
      <c r="AE177" s="4" t="s">
        <v>55</v>
      </c>
      <c r="AF177" s="4" t="s">
        <v>55</v>
      </c>
      <c r="AG177" s="4" t="s">
        <v>439</v>
      </c>
      <c r="AH177" s="4">
        <v>0</v>
      </c>
      <c r="AI177" s="4" t="s">
        <v>312</v>
      </c>
      <c r="AJ177" s="4" t="s">
        <v>55</v>
      </c>
      <c r="AK177" s="5">
        <v>45985</v>
      </c>
      <c r="AL177" s="6">
        <v>45985</v>
      </c>
      <c r="AM177" s="6">
        <v>46081</v>
      </c>
      <c r="AN177" s="4">
        <v>3</v>
      </c>
      <c r="AO177" s="6">
        <v>47079</v>
      </c>
      <c r="AP177" s="4">
        <v>1225</v>
      </c>
      <c r="AQ177" s="4" t="s">
        <v>425</v>
      </c>
      <c r="AR177" s="4" t="s">
        <v>426</v>
      </c>
      <c r="AS177" s="4" t="s">
        <v>427</v>
      </c>
      <c r="AT177" s="4" t="s">
        <v>49</v>
      </c>
    </row>
    <row r="178" spans="1:46" ht="60" x14ac:dyDescent="0.25">
      <c r="A178" s="4">
        <v>40588455</v>
      </c>
      <c r="B178" s="4" t="str">
        <f>""</f>
        <v/>
      </c>
      <c r="C178" s="4" t="str">
        <f>"700100960001"</f>
        <v>700100960001</v>
      </c>
      <c r="D178" s="4">
        <v>81</v>
      </c>
      <c r="E178" s="4" t="s">
        <v>132</v>
      </c>
      <c r="F178" s="4" t="s">
        <v>404</v>
      </c>
      <c r="G178" s="4" t="str">
        <f>"2XAL6Y"</f>
        <v>2XAL6Y</v>
      </c>
      <c r="H178" s="4" t="str">
        <f>"BLACKWIRE 3220-C3220 USB-A"</f>
        <v>BLACKWIRE 3220-C3220 USB-A</v>
      </c>
      <c r="I178" s="4" t="str">
        <f>"PLANTRONICS"</f>
        <v>PLANTRONICS</v>
      </c>
      <c r="J178" s="4"/>
      <c r="K178" s="4"/>
      <c r="L178" s="4" t="s">
        <v>418</v>
      </c>
      <c r="M178" s="4"/>
      <c r="N178" s="4" t="s">
        <v>406</v>
      </c>
      <c r="O178" s="4" t="s">
        <v>255</v>
      </c>
      <c r="P178" s="4" t="s">
        <v>407</v>
      </c>
      <c r="Q178" s="4" t="s">
        <v>54</v>
      </c>
      <c r="R178" s="4" t="s">
        <v>55</v>
      </c>
      <c r="S178" s="4" t="s">
        <v>56</v>
      </c>
      <c r="T178" s="4">
        <v>6</v>
      </c>
      <c r="U178" s="4" t="s">
        <v>57</v>
      </c>
      <c r="V178" s="4">
        <v>97459</v>
      </c>
      <c r="W178" s="4" t="s">
        <v>58</v>
      </c>
      <c r="X178" s="4">
        <v>1717662512</v>
      </c>
      <c r="Y178" s="4" t="s">
        <v>71</v>
      </c>
      <c r="Z178" s="4" t="s">
        <v>55</v>
      </c>
      <c r="AA178" s="4" t="s">
        <v>116</v>
      </c>
      <c r="AB178" s="4" t="s">
        <v>61</v>
      </c>
      <c r="AC178" s="4" t="s">
        <v>73</v>
      </c>
      <c r="AD178" s="4" t="s">
        <v>62</v>
      </c>
      <c r="AE178" s="4" t="s">
        <v>55</v>
      </c>
      <c r="AF178" s="4" t="s">
        <v>55</v>
      </c>
      <c r="AG178" s="4" t="s">
        <v>440</v>
      </c>
      <c r="AH178" s="4">
        <v>0</v>
      </c>
      <c r="AI178" s="4" t="s">
        <v>312</v>
      </c>
      <c r="AJ178" s="4" t="s">
        <v>55</v>
      </c>
      <c r="AK178" s="5">
        <v>45973</v>
      </c>
      <c r="AL178" s="6">
        <v>45973</v>
      </c>
      <c r="AM178" s="6">
        <v>46081</v>
      </c>
      <c r="AN178" s="4">
        <v>3</v>
      </c>
      <c r="AO178" s="6">
        <v>47067</v>
      </c>
      <c r="AP178" s="4" t="s">
        <v>418</v>
      </c>
      <c r="AQ178" s="4" t="s">
        <v>420</v>
      </c>
      <c r="AR178" s="4" t="s">
        <v>421</v>
      </c>
      <c r="AS178" s="4" t="s">
        <v>422</v>
      </c>
      <c r="AT178" s="4" t="s">
        <v>49</v>
      </c>
    </row>
    <row r="179" spans="1:46" ht="60" x14ac:dyDescent="0.25">
      <c r="A179" s="4">
        <v>40588447</v>
      </c>
      <c r="B179" s="4" t="str">
        <f>""</f>
        <v/>
      </c>
      <c r="C179" s="4" t="str">
        <f>"700100960001"</f>
        <v>700100960001</v>
      </c>
      <c r="D179" s="4">
        <v>80</v>
      </c>
      <c r="E179" s="4" t="s">
        <v>132</v>
      </c>
      <c r="F179" s="4" t="s">
        <v>404</v>
      </c>
      <c r="G179" s="4" t="str">
        <f>"22339X"</f>
        <v>22339X</v>
      </c>
      <c r="H179" s="4" t="str">
        <f>"BLACKWIRE 3220-C3220 USB-A"</f>
        <v>BLACKWIRE 3220-C3220 USB-A</v>
      </c>
      <c r="I179" s="4" t="str">
        <f>"PLANTRONICS"</f>
        <v>PLANTRONICS</v>
      </c>
      <c r="J179" s="4"/>
      <c r="K179" s="4"/>
      <c r="L179" s="4" t="s">
        <v>441</v>
      </c>
      <c r="M179" s="4"/>
      <c r="N179" s="4" t="s">
        <v>406</v>
      </c>
      <c r="O179" s="4" t="s">
        <v>255</v>
      </c>
      <c r="P179" s="4" t="s">
        <v>407</v>
      </c>
      <c r="Q179" s="4" t="s">
        <v>54</v>
      </c>
      <c r="R179" s="4" t="s">
        <v>55</v>
      </c>
      <c r="S179" s="4" t="s">
        <v>56</v>
      </c>
      <c r="T179" s="4">
        <v>6</v>
      </c>
      <c r="U179" s="4" t="s">
        <v>57</v>
      </c>
      <c r="V179" s="4">
        <v>97459</v>
      </c>
      <c r="W179" s="4" t="s">
        <v>58</v>
      </c>
      <c r="X179" s="4">
        <v>1717662512</v>
      </c>
      <c r="Y179" s="4" t="s">
        <v>71</v>
      </c>
      <c r="Z179" s="4" t="s">
        <v>55</v>
      </c>
      <c r="AA179" s="4" t="s">
        <v>116</v>
      </c>
      <c r="AB179" s="4" t="s">
        <v>61</v>
      </c>
      <c r="AC179" s="4" t="s">
        <v>73</v>
      </c>
      <c r="AD179" s="4" t="s">
        <v>62</v>
      </c>
      <c r="AE179" s="4" t="s">
        <v>55</v>
      </c>
      <c r="AF179" s="4" t="s">
        <v>55</v>
      </c>
      <c r="AG179" s="4" t="s">
        <v>442</v>
      </c>
      <c r="AH179" s="4">
        <v>0</v>
      </c>
      <c r="AI179" s="4" t="s">
        <v>312</v>
      </c>
      <c r="AJ179" s="4" t="s">
        <v>55</v>
      </c>
      <c r="AK179" s="5">
        <v>45973</v>
      </c>
      <c r="AL179" s="6">
        <v>45973</v>
      </c>
      <c r="AM179" s="6">
        <v>46081</v>
      </c>
      <c r="AN179" s="4">
        <v>3</v>
      </c>
      <c r="AO179" s="6">
        <v>47067</v>
      </c>
      <c r="AP179" s="4" t="s">
        <v>441</v>
      </c>
      <c r="AQ179" s="4" t="s">
        <v>443</v>
      </c>
      <c r="AR179" s="4" t="s">
        <v>444</v>
      </c>
      <c r="AS179" s="4" t="s">
        <v>445</v>
      </c>
      <c r="AT179" s="4" t="s">
        <v>49</v>
      </c>
    </row>
    <row r="180" spans="1:46" ht="60" x14ac:dyDescent="0.25">
      <c r="A180" s="4">
        <v>40580510</v>
      </c>
      <c r="B180" s="4" t="str">
        <f>""</f>
        <v/>
      </c>
      <c r="C180" s="4" t="str">
        <f>"700100440001"</f>
        <v>700100440001</v>
      </c>
      <c r="D180" s="4">
        <v>49</v>
      </c>
      <c r="E180" s="4" t="s">
        <v>132</v>
      </c>
      <c r="F180" s="4" t="s">
        <v>412</v>
      </c>
      <c r="G180" s="4" t="str">
        <f>"CNC9341VDV"</f>
        <v>CNC9341VDV</v>
      </c>
      <c r="H180" s="4" t="str">
        <f>"ELITEDISPLAY E243D 23,8"</f>
        <v>ELITEDISPLAY E243D 23,8</v>
      </c>
      <c r="I180" s="4" t="str">
        <f>"HP"</f>
        <v>HP</v>
      </c>
      <c r="J180" s="4"/>
      <c r="K180" s="4"/>
      <c r="L180" s="4">
        <v>297</v>
      </c>
      <c r="M180" s="4"/>
      <c r="N180" s="4" t="s">
        <v>233</v>
      </c>
      <c r="O180" s="4" t="s">
        <v>255</v>
      </c>
      <c r="P180" s="4" t="s">
        <v>428</v>
      </c>
      <c r="Q180" s="4" t="s">
        <v>54</v>
      </c>
      <c r="R180" s="4" t="s">
        <v>55</v>
      </c>
      <c r="S180" s="4" t="s">
        <v>56</v>
      </c>
      <c r="T180" s="4">
        <v>6</v>
      </c>
      <c r="U180" s="4" t="s">
        <v>57</v>
      </c>
      <c r="V180" s="4">
        <v>97459</v>
      </c>
      <c r="W180" s="4" t="s">
        <v>58</v>
      </c>
      <c r="X180" s="4">
        <v>1717662512</v>
      </c>
      <c r="Y180" s="4" t="s">
        <v>71</v>
      </c>
      <c r="Z180" s="4" t="s">
        <v>55</v>
      </c>
      <c r="AA180" s="4" t="s">
        <v>116</v>
      </c>
      <c r="AB180" s="4" t="s">
        <v>61</v>
      </c>
      <c r="AC180" s="4" t="s">
        <v>73</v>
      </c>
      <c r="AD180" s="4" t="s">
        <v>62</v>
      </c>
      <c r="AE180" s="4" t="s">
        <v>55</v>
      </c>
      <c r="AF180" s="4" t="s">
        <v>55</v>
      </c>
      <c r="AG180" s="4" t="s">
        <v>446</v>
      </c>
      <c r="AH180" s="4">
        <v>0</v>
      </c>
      <c r="AI180" s="4" t="s">
        <v>312</v>
      </c>
      <c r="AJ180" s="4" t="s">
        <v>55</v>
      </c>
      <c r="AK180" s="5">
        <v>45971</v>
      </c>
      <c r="AL180" s="6">
        <v>45971</v>
      </c>
      <c r="AM180" s="6">
        <v>46081</v>
      </c>
      <c r="AN180" s="4">
        <v>3</v>
      </c>
      <c r="AO180" s="6">
        <v>47065</v>
      </c>
      <c r="AP180" s="4">
        <v>297</v>
      </c>
      <c r="AQ180" s="4" t="s">
        <v>447</v>
      </c>
      <c r="AR180" s="4" t="s">
        <v>448</v>
      </c>
      <c r="AS180" s="4" t="s">
        <v>449</v>
      </c>
      <c r="AT180" s="4" t="s">
        <v>49</v>
      </c>
    </row>
    <row r="181" spans="1:46" ht="60" x14ac:dyDescent="0.25">
      <c r="A181" s="4">
        <v>40582192</v>
      </c>
      <c r="B181" s="4" t="str">
        <f>""</f>
        <v/>
      </c>
      <c r="C181" s="4" t="str">
        <f>"700100440001"</f>
        <v>700100440001</v>
      </c>
      <c r="D181" s="4">
        <v>59</v>
      </c>
      <c r="E181" s="4" t="s">
        <v>132</v>
      </c>
      <c r="F181" s="4" t="s">
        <v>412</v>
      </c>
      <c r="G181" s="4" t="str">
        <f>"CNC9192T60"</f>
        <v>CNC9192T60</v>
      </c>
      <c r="H181" s="4" t="str">
        <f>"ELITEDISPLAY E243d 23,8"</f>
        <v>ELITEDISPLAY E243d 23,8</v>
      </c>
      <c r="I181" s="4" t="str">
        <f>"HP"</f>
        <v>HP</v>
      </c>
      <c r="J181" s="4"/>
      <c r="K181" s="4"/>
      <c r="L181" s="4">
        <v>298</v>
      </c>
      <c r="M181" s="4"/>
      <c r="N181" s="4" t="s">
        <v>233</v>
      </c>
      <c r="O181" s="4" t="s">
        <v>255</v>
      </c>
      <c r="P181" s="4" t="s">
        <v>413</v>
      </c>
      <c r="Q181" s="4" t="s">
        <v>54</v>
      </c>
      <c r="R181" s="4" t="s">
        <v>55</v>
      </c>
      <c r="S181" s="4" t="s">
        <v>56</v>
      </c>
      <c r="T181" s="4">
        <v>6</v>
      </c>
      <c r="U181" s="4" t="s">
        <v>57</v>
      </c>
      <c r="V181" s="4">
        <v>97459</v>
      </c>
      <c r="W181" s="4" t="s">
        <v>58</v>
      </c>
      <c r="X181" s="4">
        <v>1717662512</v>
      </c>
      <c r="Y181" s="4" t="s">
        <v>71</v>
      </c>
      <c r="Z181" s="4" t="s">
        <v>55</v>
      </c>
      <c r="AA181" s="4" t="s">
        <v>116</v>
      </c>
      <c r="AB181" s="4" t="s">
        <v>61</v>
      </c>
      <c r="AC181" s="4" t="s">
        <v>73</v>
      </c>
      <c r="AD181" s="4" t="s">
        <v>62</v>
      </c>
      <c r="AE181" s="4" t="s">
        <v>55</v>
      </c>
      <c r="AF181" s="4" t="s">
        <v>55</v>
      </c>
      <c r="AG181" s="4" t="s">
        <v>450</v>
      </c>
      <c r="AH181" s="4">
        <v>0</v>
      </c>
      <c r="AI181" s="4" t="s">
        <v>312</v>
      </c>
      <c r="AJ181" s="4" t="s">
        <v>55</v>
      </c>
      <c r="AK181" s="5">
        <v>45971</v>
      </c>
      <c r="AL181" s="6">
        <v>45971</v>
      </c>
      <c r="AM181" s="6">
        <v>46081</v>
      </c>
      <c r="AN181" s="4">
        <v>3</v>
      </c>
      <c r="AO181" s="6">
        <v>47065</v>
      </c>
      <c r="AP181" s="4">
        <v>298</v>
      </c>
      <c r="AQ181" s="4" t="s">
        <v>415</v>
      </c>
      <c r="AR181" s="4" t="s">
        <v>416</v>
      </c>
      <c r="AS181" s="4" t="s">
        <v>417</v>
      </c>
      <c r="AT181" s="4" t="s">
        <v>49</v>
      </c>
    </row>
    <row r="182" spans="1:46" ht="60" x14ac:dyDescent="0.25">
      <c r="A182" s="4">
        <v>40588456</v>
      </c>
      <c r="B182" s="4" t="str">
        <f>""</f>
        <v/>
      </c>
      <c r="C182" s="4" t="str">
        <f>"700100960001"</f>
        <v>700100960001</v>
      </c>
      <c r="D182" s="4">
        <v>82</v>
      </c>
      <c r="E182" s="4" t="s">
        <v>132</v>
      </c>
      <c r="F182" s="4" t="s">
        <v>404</v>
      </c>
      <c r="G182" s="4" t="str">
        <f>"2U4TBN"</f>
        <v>2U4TBN</v>
      </c>
      <c r="H182" s="4" t="str">
        <f>"BLACKWIRE 3220-C3220 USB-A"</f>
        <v>BLACKWIRE 3220-C3220 USB-A</v>
      </c>
      <c r="I182" s="4" t="str">
        <f>"PLANTRONICS"</f>
        <v>PLANTRONICS</v>
      </c>
      <c r="J182" s="4"/>
      <c r="K182" s="4"/>
      <c r="L182" s="4" t="s">
        <v>418</v>
      </c>
      <c r="M182" s="4"/>
      <c r="N182" s="4" t="s">
        <v>406</v>
      </c>
      <c r="O182" s="4" t="s">
        <v>255</v>
      </c>
      <c r="P182" s="4" t="s">
        <v>407</v>
      </c>
      <c r="Q182" s="4" t="s">
        <v>54</v>
      </c>
      <c r="R182" s="4" t="s">
        <v>55</v>
      </c>
      <c r="S182" s="4" t="s">
        <v>56</v>
      </c>
      <c r="T182" s="4">
        <v>6</v>
      </c>
      <c r="U182" s="4" t="s">
        <v>57</v>
      </c>
      <c r="V182" s="4">
        <v>97459</v>
      </c>
      <c r="W182" s="4" t="s">
        <v>58</v>
      </c>
      <c r="X182" s="4">
        <v>1717662512</v>
      </c>
      <c r="Y182" s="4" t="s">
        <v>71</v>
      </c>
      <c r="Z182" s="4" t="s">
        <v>55</v>
      </c>
      <c r="AA182" s="4" t="s">
        <v>116</v>
      </c>
      <c r="AB182" s="4" t="s">
        <v>61</v>
      </c>
      <c r="AC182" s="4" t="s">
        <v>73</v>
      </c>
      <c r="AD182" s="4" t="s">
        <v>62</v>
      </c>
      <c r="AE182" s="4" t="s">
        <v>55</v>
      </c>
      <c r="AF182" s="4" t="s">
        <v>55</v>
      </c>
      <c r="AG182" s="4" t="s">
        <v>451</v>
      </c>
      <c r="AH182" s="4">
        <v>0</v>
      </c>
      <c r="AI182" s="4" t="s">
        <v>312</v>
      </c>
      <c r="AJ182" s="4" t="s">
        <v>55</v>
      </c>
      <c r="AK182" s="5">
        <v>45973</v>
      </c>
      <c r="AL182" s="6">
        <v>45973</v>
      </c>
      <c r="AM182" s="6">
        <v>46081</v>
      </c>
      <c r="AN182" s="4">
        <v>3</v>
      </c>
      <c r="AO182" s="6">
        <v>47067</v>
      </c>
      <c r="AP182" s="4" t="s">
        <v>418</v>
      </c>
      <c r="AQ182" s="4" t="s">
        <v>420</v>
      </c>
      <c r="AR182" s="4" t="s">
        <v>421</v>
      </c>
      <c r="AS182" s="4" t="s">
        <v>422</v>
      </c>
      <c r="AT182" s="4" t="s">
        <v>49</v>
      </c>
    </row>
    <row r="183" spans="1:46" ht="60" x14ac:dyDescent="0.25">
      <c r="A183" s="4">
        <v>40588693</v>
      </c>
      <c r="B183" s="4" t="str">
        <f>""</f>
        <v/>
      </c>
      <c r="C183" s="4" t="str">
        <f>"700100960001"</f>
        <v>700100960001</v>
      </c>
      <c r="D183" s="4">
        <v>86</v>
      </c>
      <c r="E183" s="4" t="s">
        <v>132</v>
      </c>
      <c r="F183" s="4" t="s">
        <v>404</v>
      </c>
      <c r="G183" s="4" t="str">
        <f>"2V1G2L"</f>
        <v>2V1G2L</v>
      </c>
      <c r="H183" s="4" t="str">
        <f>"BLACKWIRE 3220-C3220 USB-A"</f>
        <v>BLACKWIRE 3220-C3220 USB-A</v>
      </c>
      <c r="I183" s="4" t="str">
        <f>"PLANTRONICS"</f>
        <v>PLANTRONICS</v>
      </c>
      <c r="J183" s="4"/>
      <c r="K183" s="4"/>
      <c r="L183" s="4" t="s">
        <v>418</v>
      </c>
      <c r="M183" s="4"/>
      <c r="N183" s="4" t="s">
        <v>406</v>
      </c>
      <c r="O183" s="4" t="s">
        <v>255</v>
      </c>
      <c r="P183" s="4" t="s">
        <v>407</v>
      </c>
      <c r="Q183" s="4" t="s">
        <v>54</v>
      </c>
      <c r="R183" s="4" t="s">
        <v>55</v>
      </c>
      <c r="S183" s="4" t="s">
        <v>56</v>
      </c>
      <c r="T183" s="4">
        <v>6</v>
      </c>
      <c r="U183" s="4" t="s">
        <v>57</v>
      </c>
      <c r="V183" s="4">
        <v>97459</v>
      </c>
      <c r="W183" s="4" t="s">
        <v>58</v>
      </c>
      <c r="X183" s="4">
        <v>1717662512</v>
      </c>
      <c r="Y183" s="4" t="s">
        <v>71</v>
      </c>
      <c r="Z183" s="4" t="s">
        <v>55</v>
      </c>
      <c r="AA183" s="4" t="s">
        <v>116</v>
      </c>
      <c r="AB183" s="4" t="s">
        <v>61</v>
      </c>
      <c r="AC183" s="4" t="s">
        <v>73</v>
      </c>
      <c r="AD183" s="4" t="s">
        <v>62</v>
      </c>
      <c r="AE183" s="4" t="s">
        <v>55</v>
      </c>
      <c r="AF183" s="4" t="s">
        <v>55</v>
      </c>
      <c r="AG183" s="4" t="s">
        <v>452</v>
      </c>
      <c r="AH183" s="4">
        <v>0</v>
      </c>
      <c r="AI183" s="4" t="s">
        <v>312</v>
      </c>
      <c r="AJ183" s="4" t="s">
        <v>55</v>
      </c>
      <c r="AK183" s="5">
        <v>45973</v>
      </c>
      <c r="AL183" s="6">
        <v>45973</v>
      </c>
      <c r="AM183" s="6">
        <v>46081</v>
      </c>
      <c r="AN183" s="4">
        <v>3</v>
      </c>
      <c r="AO183" s="6">
        <v>47067</v>
      </c>
      <c r="AP183" s="4" t="s">
        <v>418</v>
      </c>
      <c r="AQ183" s="4" t="s">
        <v>420</v>
      </c>
      <c r="AR183" s="4" t="s">
        <v>421</v>
      </c>
      <c r="AS183" s="4" t="s">
        <v>422</v>
      </c>
      <c r="AT183" s="4" t="s">
        <v>49</v>
      </c>
    </row>
    <row r="184" spans="1:46" ht="60" x14ac:dyDescent="0.25">
      <c r="A184" s="4">
        <v>40588880</v>
      </c>
      <c r="B184" s="4" t="str">
        <f>""</f>
        <v/>
      </c>
      <c r="C184" s="4" t="str">
        <f>"700100960001"</f>
        <v>700100960001</v>
      </c>
      <c r="D184" s="4">
        <v>87</v>
      </c>
      <c r="E184" s="4" t="s">
        <v>132</v>
      </c>
      <c r="F184" s="4" t="s">
        <v>404</v>
      </c>
      <c r="G184" s="4" t="str">
        <f>"2M80Y3"</f>
        <v>2M80Y3</v>
      </c>
      <c r="H184" s="4" t="str">
        <f>"BLACKWIRE 3220-C3220 USB-A"</f>
        <v>BLACKWIRE 3220-C3220 USB-A</v>
      </c>
      <c r="I184" s="4" t="str">
        <f>"PLANTRONICS"</f>
        <v>PLANTRONICS</v>
      </c>
      <c r="J184" s="4"/>
      <c r="K184" s="4"/>
      <c r="L184" s="4" t="s">
        <v>453</v>
      </c>
      <c r="M184" s="4"/>
      <c r="N184" s="4" t="s">
        <v>406</v>
      </c>
      <c r="O184" s="4" t="s">
        <v>255</v>
      </c>
      <c r="P184" s="4" t="s">
        <v>407</v>
      </c>
      <c r="Q184" s="4" t="s">
        <v>54</v>
      </c>
      <c r="R184" s="4" t="s">
        <v>55</v>
      </c>
      <c r="S184" s="4" t="s">
        <v>56</v>
      </c>
      <c r="T184" s="4">
        <v>6</v>
      </c>
      <c r="U184" s="4" t="s">
        <v>57</v>
      </c>
      <c r="V184" s="4">
        <v>97459</v>
      </c>
      <c r="W184" s="4" t="s">
        <v>58</v>
      </c>
      <c r="X184" s="4">
        <v>1717662512</v>
      </c>
      <c r="Y184" s="4" t="s">
        <v>71</v>
      </c>
      <c r="Z184" s="4" t="s">
        <v>55</v>
      </c>
      <c r="AA184" s="4" t="s">
        <v>116</v>
      </c>
      <c r="AB184" s="4" t="s">
        <v>61</v>
      </c>
      <c r="AC184" s="4" t="s">
        <v>73</v>
      </c>
      <c r="AD184" s="4" t="s">
        <v>62</v>
      </c>
      <c r="AE184" s="4" t="s">
        <v>55</v>
      </c>
      <c r="AF184" s="4" t="s">
        <v>55</v>
      </c>
      <c r="AG184" s="4" t="s">
        <v>454</v>
      </c>
      <c r="AH184" s="4">
        <v>0</v>
      </c>
      <c r="AI184" s="4" t="s">
        <v>312</v>
      </c>
      <c r="AJ184" s="4" t="s">
        <v>55</v>
      </c>
      <c r="AK184" s="5">
        <v>45973</v>
      </c>
      <c r="AL184" s="6">
        <v>45973</v>
      </c>
      <c r="AM184" s="6">
        <v>46081</v>
      </c>
      <c r="AN184" s="4">
        <v>3</v>
      </c>
      <c r="AO184" s="6">
        <v>47067</v>
      </c>
      <c r="AP184" s="4" t="s">
        <v>453</v>
      </c>
      <c r="AQ184" s="4" t="s">
        <v>455</v>
      </c>
      <c r="AR184" s="4" t="s">
        <v>456</v>
      </c>
      <c r="AS184" s="4" t="s">
        <v>457</v>
      </c>
      <c r="AT184" s="4" t="s">
        <v>49</v>
      </c>
    </row>
    <row r="185" spans="1:46" ht="60" x14ac:dyDescent="0.25">
      <c r="A185" s="4">
        <v>40588881</v>
      </c>
      <c r="B185" s="4" t="str">
        <f>""</f>
        <v/>
      </c>
      <c r="C185" s="4" t="str">
        <f>"700100960001"</f>
        <v>700100960001</v>
      </c>
      <c r="D185" s="4">
        <v>88</v>
      </c>
      <c r="E185" s="4" t="s">
        <v>132</v>
      </c>
      <c r="F185" s="4" t="s">
        <v>404</v>
      </c>
      <c r="G185" s="4" t="str">
        <f>"2U5LGE"</f>
        <v>2U5LGE</v>
      </c>
      <c r="H185" s="4" t="str">
        <f>"BLACKWIRE 3220-C3220 USB-A"</f>
        <v>BLACKWIRE 3220-C3220 USB-A</v>
      </c>
      <c r="I185" s="4" t="str">
        <f>"PLANTRONICS"</f>
        <v>PLANTRONICS</v>
      </c>
      <c r="J185" s="4"/>
      <c r="K185" s="4"/>
      <c r="L185" s="4" t="s">
        <v>418</v>
      </c>
      <c r="M185" s="4"/>
      <c r="N185" s="4" t="s">
        <v>406</v>
      </c>
      <c r="O185" s="4" t="s">
        <v>255</v>
      </c>
      <c r="P185" s="4" t="s">
        <v>407</v>
      </c>
      <c r="Q185" s="4" t="s">
        <v>54</v>
      </c>
      <c r="R185" s="4" t="s">
        <v>55</v>
      </c>
      <c r="S185" s="4" t="s">
        <v>56</v>
      </c>
      <c r="T185" s="4">
        <v>6</v>
      </c>
      <c r="U185" s="4" t="s">
        <v>57</v>
      </c>
      <c r="V185" s="4">
        <v>97459</v>
      </c>
      <c r="W185" s="4" t="s">
        <v>58</v>
      </c>
      <c r="X185" s="4">
        <v>1717662512</v>
      </c>
      <c r="Y185" s="4" t="s">
        <v>71</v>
      </c>
      <c r="Z185" s="4" t="s">
        <v>55</v>
      </c>
      <c r="AA185" s="4" t="s">
        <v>116</v>
      </c>
      <c r="AB185" s="4" t="s">
        <v>61</v>
      </c>
      <c r="AC185" s="4" t="s">
        <v>73</v>
      </c>
      <c r="AD185" s="4" t="s">
        <v>62</v>
      </c>
      <c r="AE185" s="4" t="s">
        <v>55</v>
      </c>
      <c r="AF185" s="4" t="s">
        <v>55</v>
      </c>
      <c r="AG185" s="4" t="s">
        <v>458</v>
      </c>
      <c r="AH185" s="4">
        <v>0</v>
      </c>
      <c r="AI185" s="4" t="s">
        <v>312</v>
      </c>
      <c r="AJ185" s="4" t="s">
        <v>55</v>
      </c>
      <c r="AK185" s="5">
        <v>45973</v>
      </c>
      <c r="AL185" s="6">
        <v>45973</v>
      </c>
      <c r="AM185" s="6">
        <v>46081</v>
      </c>
      <c r="AN185" s="4">
        <v>3</v>
      </c>
      <c r="AO185" s="6">
        <v>47067</v>
      </c>
      <c r="AP185" s="4" t="s">
        <v>418</v>
      </c>
      <c r="AQ185" s="4" t="s">
        <v>420</v>
      </c>
      <c r="AR185" s="4" t="s">
        <v>421</v>
      </c>
      <c r="AS185" s="4" t="s">
        <v>422</v>
      </c>
      <c r="AT185" s="4" t="s">
        <v>49</v>
      </c>
    </row>
    <row r="186" spans="1:46" ht="75" x14ac:dyDescent="0.25">
      <c r="A186" s="4">
        <v>40631242</v>
      </c>
      <c r="B186" s="4" t="str">
        <f>""</f>
        <v/>
      </c>
      <c r="C186" s="4" t="str">
        <f>"700100070001"</f>
        <v>700100070001</v>
      </c>
      <c r="D186" s="4">
        <v>119</v>
      </c>
      <c r="E186" s="4" t="s">
        <v>132</v>
      </c>
      <c r="F186" s="4" t="s">
        <v>316</v>
      </c>
      <c r="G186" s="4" t="str">
        <f>"F2F4CS3"</f>
        <v>F2F4CS3</v>
      </c>
      <c r="H186" s="4" t="str">
        <f>"LATITUDE 3520"</f>
        <v>LATITUDE 3520</v>
      </c>
      <c r="I186" s="4" t="str">
        <f>"DELL"</f>
        <v>DELL</v>
      </c>
      <c r="J186" s="4"/>
      <c r="K186" s="4"/>
      <c r="L186" s="4">
        <v>1135</v>
      </c>
      <c r="M186" s="4"/>
      <c r="N186" s="4" t="s">
        <v>113</v>
      </c>
      <c r="O186" s="4" t="s">
        <v>114</v>
      </c>
      <c r="P186" s="4" t="s">
        <v>423</v>
      </c>
      <c r="Q186" s="4" t="s">
        <v>54</v>
      </c>
      <c r="R186" s="4" t="s">
        <v>55</v>
      </c>
      <c r="S186" s="4" t="s">
        <v>56</v>
      </c>
      <c r="T186" s="4">
        <v>6</v>
      </c>
      <c r="U186" s="4" t="s">
        <v>57</v>
      </c>
      <c r="V186" s="4">
        <v>97459</v>
      </c>
      <c r="W186" s="4" t="s">
        <v>58</v>
      </c>
      <c r="X186" s="4">
        <v>1717662512</v>
      </c>
      <c r="Y186" s="4" t="s">
        <v>71</v>
      </c>
      <c r="Z186" s="4" t="s">
        <v>55</v>
      </c>
      <c r="AA186" s="4" t="s">
        <v>116</v>
      </c>
      <c r="AB186" s="4" t="s">
        <v>61</v>
      </c>
      <c r="AC186" s="4" t="s">
        <v>73</v>
      </c>
      <c r="AD186" s="4" t="s">
        <v>62</v>
      </c>
      <c r="AE186" s="4" t="s">
        <v>55</v>
      </c>
      <c r="AF186" s="4" t="s">
        <v>55</v>
      </c>
      <c r="AG186" s="4" t="s">
        <v>459</v>
      </c>
      <c r="AH186" s="4">
        <v>0</v>
      </c>
      <c r="AI186" s="4" t="s">
        <v>312</v>
      </c>
      <c r="AJ186" s="4" t="s">
        <v>55</v>
      </c>
      <c r="AK186" s="5">
        <v>45985</v>
      </c>
      <c r="AL186" s="6">
        <v>45985</v>
      </c>
      <c r="AM186" s="6">
        <v>46081</v>
      </c>
      <c r="AN186" s="4">
        <v>3</v>
      </c>
      <c r="AO186" s="6">
        <v>47079</v>
      </c>
      <c r="AP186" s="4">
        <v>1225</v>
      </c>
      <c r="AQ186" s="4" t="s">
        <v>425</v>
      </c>
      <c r="AR186" s="4" t="s">
        <v>426</v>
      </c>
      <c r="AS186" s="4" t="s">
        <v>427</v>
      </c>
      <c r="AT186" s="4" t="s">
        <v>49</v>
      </c>
    </row>
    <row r="187" spans="1:46" ht="60" x14ac:dyDescent="0.25">
      <c r="A187" s="4">
        <v>40581985</v>
      </c>
      <c r="B187" s="4" t="str">
        <f>""</f>
        <v/>
      </c>
      <c r="C187" s="4" t="str">
        <f>"700100440001"</f>
        <v>700100440001</v>
      </c>
      <c r="D187" s="4">
        <v>54</v>
      </c>
      <c r="E187" s="4" t="s">
        <v>132</v>
      </c>
      <c r="F187" s="4" t="s">
        <v>412</v>
      </c>
      <c r="G187" s="4" t="str">
        <f>"CNC9341VF0"</f>
        <v>CNC9341VF0</v>
      </c>
      <c r="H187" s="4" t="str">
        <f>"ELITEDISPLAY E243d 23,8"</f>
        <v>ELITEDISPLAY E243d 23,8</v>
      </c>
      <c r="I187" s="4" t="str">
        <f>"HP"</f>
        <v>HP</v>
      </c>
      <c r="J187" s="4"/>
      <c r="K187" s="4"/>
      <c r="L187" s="4">
        <v>297</v>
      </c>
      <c r="M187" s="4"/>
      <c r="N187" s="4" t="s">
        <v>233</v>
      </c>
      <c r="O187" s="4" t="s">
        <v>255</v>
      </c>
      <c r="P187" s="4" t="s">
        <v>413</v>
      </c>
      <c r="Q187" s="4" t="s">
        <v>54</v>
      </c>
      <c r="R187" s="4" t="s">
        <v>55</v>
      </c>
      <c r="S187" s="4" t="s">
        <v>56</v>
      </c>
      <c r="T187" s="4">
        <v>6</v>
      </c>
      <c r="U187" s="4" t="s">
        <v>57</v>
      </c>
      <c r="V187" s="4">
        <v>97459</v>
      </c>
      <c r="W187" s="4" t="s">
        <v>58</v>
      </c>
      <c r="X187" s="4">
        <v>1717662512</v>
      </c>
      <c r="Y187" s="4" t="s">
        <v>71</v>
      </c>
      <c r="Z187" s="4" t="s">
        <v>55</v>
      </c>
      <c r="AA187" s="4" t="s">
        <v>116</v>
      </c>
      <c r="AB187" s="4" t="s">
        <v>61</v>
      </c>
      <c r="AC187" s="4" t="s">
        <v>73</v>
      </c>
      <c r="AD187" s="4" t="s">
        <v>62</v>
      </c>
      <c r="AE187" s="4" t="s">
        <v>55</v>
      </c>
      <c r="AF187" s="4" t="s">
        <v>55</v>
      </c>
      <c r="AG187" s="4" t="s">
        <v>460</v>
      </c>
      <c r="AH187" s="4">
        <v>0</v>
      </c>
      <c r="AI187" s="4" t="s">
        <v>312</v>
      </c>
      <c r="AJ187" s="4" t="s">
        <v>55</v>
      </c>
      <c r="AK187" s="5">
        <v>45971</v>
      </c>
      <c r="AL187" s="6">
        <v>45971</v>
      </c>
      <c r="AM187" s="6">
        <v>46081</v>
      </c>
      <c r="AN187" s="4">
        <v>3</v>
      </c>
      <c r="AO187" s="6">
        <v>47065</v>
      </c>
      <c r="AP187" s="4">
        <v>297</v>
      </c>
      <c r="AQ187" s="4" t="s">
        <v>447</v>
      </c>
      <c r="AR187" s="4" t="s">
        <v>448</v>
      </c>
      <c r="AS187" s="4" t="s">
        <v>449</v>
      </c>
      <c r="AT187" s="4" t="s">
        <v>49</v>
      </c>
    </row>
    <row r="188" spans="1:46" ht="75" x14ac:dyDescent="0.25">
      <c r="A188" s="4">
        <v>40631251</v>
      </c>
      <c r="B188" s="4" t="str">
        <f>""</f>
        <v/>
      </c>
      <c r="C188" s="4" t="str">
        <f>"700100070001"</f>
        <v>700100070001</v>
      </c>
      <c r="D188" s="4">
        <v>121</v>
      </c>
      <c r="E188" s="4" t="s">
        <v>132</v>
      </c>
      <c r="F188" s="4" t="s">
        <v>316</v>
      </c>
      <c r="G188" s="4" t="str">
        <f>"1CD4CS3"</f>
        <v>1CD4CS3</v>
      </c>
      <c r="H188" s="4" t="str">
        <f>"LATITUDE 3520"</f>
        <v>LATITUDE 3520</v>
      </c>
      <c r="I188" s="4" t="str">
        <f>"DELL"</f>
        <v>DELL</v>
      </c>
      <c r="J188" s="4"/>
      <c r="K188" s="4"/>
      <c r="L188" s="4">
        <v>1135</v>
      </c>
      <c r="M188" s="4"/>
      <c r="N188" s="4" t="s">
        <v>113</v>
      </c>
      <c r="O188" s="4" t="s">
        <v>114</v>
      </c>
      <c r="P188" s="4" t="s">
        <v>423</v>
      </c>
      <c r="Q188" s="4" t="s">
        <v>54</v>
      </c>
      <c r="R188" s="4" t="s">
        <v>55</v>
      </c>
      <c r="S188" s="4" t="s">
        <v>56</v>
      </c>
      <c r="T188" s="4">
        <v>6</v>
      </c>
      <c r="U188" s="4" t="s">
        <v>57</v>
      </c>
      <c r="V188" s="4">
        <v>97459</v>
      </c>
      <c r="W188" s="4" t="s">
        <v>58</v>
      </c>
      <c r="X188" s="4">
        <v>1722641816</v>
      </c>
      <c r="Y188" s="4" t="s">
        <v>222</v>
      </c>
      <c r="Z188" s="4" t="s">
        <v>55</v>
      </c>
      <c r="AA188" s="4" t="s">
        <v>116</v>
      </c>
      <c r="AB188" s="4" t="s">
        <v>61</v>
      </c>
      <c r="AC188" s="4" t="s">
        <v>73</v>
      </c>
      <c r="AD188" s="4" t="s">
        <v>62</v>
      </c>
      <c r="AE188" s="4" t="s">
        <v>55</v>
      </c>
      <c r="AF188" s="4" t="s">
        <v>55</v>
      </c>
      <c r="AG188" s="4" t="s">
        <v>461</v>
      </c>
      <c r="AH188" s="4">
        <v>0</v>
      </c>
      <c r="AI188" s="4" t="s">
        <v>312</v>
      </c>
      <c r="AJ188" s="4" t="s">
        <v>55</v>
      </c>
      <c r="AK188" s="5">
        <v>45985</v>
      </c>
      <c r="AL188" s="6">
        <v>45985</v>
      </c>
      <c r="AM188" s="6">
        <v>46081</v>
      </c>
      <c r="AN188" s="4">
        <v>3</v>
      </c>
      <c r="AO188" s="6">
        <v>47079</v>
      </c>
      <c r="AP188" s="4">
        <v>1225</v>
      </c>
      <c r="AQ188" s="4" t="s">
        <v>425</v>
      </c>
      <c r="AR188" s="4" t="s">
        <v>426</v>
      </c>
      <c r="AS188" s="4" t="s">
        <v>427</v>
      </c>
      <c r="AT188" s="4" t="s">
        <v>49</v>
      </c>
    </row>
    <row r="189" spans="1:46" ht="60" x14ac:dyDescent="0.25">
      <c r="A189" s="4">
        <v>40577745</v>
      </c>
      <c r="B189" s="4" t="str">
        <f>""</f>
        <v/>
      </c>
      <c r="C189" s="4" t="str">
        <f>"700100440001"</f>
        <v>700100440001</v>
      </c>
      <c r="D189" s="4">
        <v>47</v>
      </c>
      <c r="E189" s="4" t="s">
        <v>132</v>
      </c>
      <c r="F189" s="4" t="s">
        <v>412</v>
      </c>
      <c r="G189" s="4" t="str">
        <f>"CNC9341W6W"</f>
        <v>CNC9341W6W</v>
      </c>
      <c r="H189" s="4" t="str">
        <f>"ELITEDISPLAY E243D 23,8"</f>
        <v>ELITEDISPLAY E243D 23,8</v>
      </c>
      <c r="I189" s="4" t="str">
        <f>"HP"</f>
        <v>HP</v>
      </c>
      <c r="J189" s="4"/>
      <c r="K189" s="4"/>
      <c r="L189" s="4">
        <v>297</v>
      </c>
      <c r="M189" s="4"/>
      <c r="N189" s="4" t="s">
        <v>233</v>
      </c>
      <c r="O189" s="4" t="s">
        <v>114</v>
      </c>
      <c r="P189" s="4" t="s">
        <v>428</v>
      </c>
      <c r="Q189" s="4" t="s">
        <v>54</v>
      </c>
      <c r="R189" s="4" t="s">
        <v>55</v>
      </c>
      <c r="S189" s="4" t="s">
        <v>56</v>
      </c>
      <c r="T189" s="4">
        <v>6</v>
      </c>
      <c r="U189" s="4" t="s">
        <v>57</v>
      </c>
      <c r="V189" s="4">
        <v>97459</v>
      </c>
      <c r="W189" s="4" t="s">
        <v>58</v>
      </c>
      <c r="X189" s="4">
        <v>1717662512</v>
      </c>
      <c r="Y189" s="4" t="s">
        <v>71</v>
      </c>
      <c r="Z189" s="4" t="s">
        <v>55</v>
      </c>
      <c r="AA189" s="4" t="s">
        <v>116</v>
      </c>
      <c r="AB189" s="4" t="s">
        <v>61</v>
      </c>
      <c r="AC189" s="4" t="s">
        <v>73</v>
      </c>
      <c r="AD189" s="4" t="s">
        <v>62</v>
      </c>
      <c r="AE189" s="4" t="s">
        <v>55</v>
      </c>
      <c r="AF189" s="4" t="s">
        <v>55</v>
      </c>
      <c r="AG189" s="4" t="s">
        <v>462</v>
      </c>
      <c r="AH189" s="4">
        <v>0</v>
      </c>
      <c r="AI189" s="4" t="s">
        <v>312</v>
      </c>
      <c r="AJ189" s="4" t="s">
        <v>55</v>
      </c>
      <c r="AK189" s="5">
        <v>45968</v>
      </c>
      <c r="AL189" s="6">
        <v>45968</v>
      </c>
      <c r="AM189" s="6">
        <v>46081</v>
      </c>
      <c r="AN189" s="4">
        <v>1</v>
      </c>
      <c r="AO189" s="6">
        <v>46332</v>
      </c>
      <c r="AP189" s="4">
        <v>297</v>
      </c>
      <c r="AQ189" s="4" t="s">
        <v>447</v>
      </c>
      <c r="AR189" s="4" t="s">
        <v>463</v>
      </c>
      <c r="AS189" s="4" t="s">
        <v>464</v>
      </c>
      <c r="AT189" s="4" t="s">
        <v>49</v>
      </c>
    </row>
    <row r="190" spans="1:46" ht="60" x14ac:dyDescent="0.25">
      <c r="A190" s="4">
        <v>40565339</v>
      </c>
      <c r="B190" s="4" t="str">
        <f>""</f>
        <v/>
      </c>
      <c r="C190" s="4" t="str">
        <f>"700100070001"</f>
        <v>700100070001</v>
      </c>
      <c r="D190" s="4">
        <v>20</v>
      </c>
      <c r="E190" s="4" t="s">
        <v>132</v>
      </c>
      <c r="F190" s="4" t="s">
        <v>316</v>
      </c>
      <c r="G190" s="4" t="str">
        <f>"PC1A0XKX"</f>
        <v>PC1A0XKX</v>
      </c>
      <c r="H190" s="4" t="str">
        <f>"THINKPAD T490"</f>
        <v>THINKPAD T490</v>
      </c>
      <c r="I190" s="4" t="str">
        <f>"LENOVO"</f>
        <v>LENOVO</v>
      </c>
      <c r="J190" s="4"/>
      <c r="K190" s="4"/>
      <c r="L190" s="4">
        <v>1194</v>
      </c>
      <c r="M190" s="4"/>
      <c r="N190" s="4" t="s">
        <v>113</v>
      </c>
      <c r="O190" s="4" t="s">
        <v>255</v>
      </c>
      <c r="P190" s="4" t="s">
        <v>392</v>
      </c>
      <c r="Q190" s="4" t="s">
        <v>54</v>
      </c>
      <c r="R190" s="4" t="s">
        <v>55</v>
      </c>
      <c r="S190" s="4" t="s">
        <v>56</v>
      </c>
      <c r="T190" s="4">
        <v>6</v>
      </c>
      <c r="U190" s="4" t="s">
        <v>57</v>
      </c>
      <c r="V190" s="4">
        <v>97459</v>
      </c>
      <c r="W190" s="4" t="s">
        <v>58</v>
      </c>
      <c r="X190" s="4">
        <v>1717662512</v>
      </c>
      <c r="Y190" s="4" t="s">
        <v>71</v>
      </c>
      <c r="Z190" s="4" t="s">
        <v>55</v>
      </c>
      <c r="AA190" s="4" t="s">
        <v>116</v>
      </c>
      <c r="AB190" s="4" t="s">
        <v>61</v>
      </c>
      <c r="AC190" s="4" t="s">
        <v>73</v>
      </c>
      <c r="AD190" s="4" t="s">
        <v>62</v>
      </c>
      <c r="AE190" s="4" t="s">
        <v>55</v>
      </c>
      <c r="AF190" s="4" t="s">
        <v>55</v>
      </c>
      <c r="AG190" s="4" t="s">
        <v>465</v>
      </c>
      <c r="AH190" s="4">
        <v>0</v>
      </c>
      <c r="AI190" s="4" t="s">
        <v>312</v>
      </c>
      <c r="AJ190" s="4" t="s">
        <v>55</v>
      </c>
      <c r="AK190" s="5">
        <v>45967</v>
      </c>
      <c r="AL190" s="6">
        <v>45967</v>
      </c>
      <c r="AM190" s="6">
        <v>46081</v>
      </c>
      <c r="AN190" s="4">
        <v>3</v>
      </c>
      <c r="AO190" s="6">
        <v>47061</v>
      </c>
      <c r="AP190" s="4">
        <v>1194</v>
      </c>
      <c r="AQ190" s="4" t="s">
        <v>394</v>
      </c>
      <c r="AR190" s="4" t="s">
        <v>395</v>
      </c>
      <c r="AS190" s="4" t="s">
        <v>396</v>
      </c>
      <c r="AT190" s="4" t="s">
        <v>49</v>
      </c>
    </row>
    <row r="191" spans="1:46" ht="60" x14ac:dyDescent="0.25">
      <c r="A191" s="4">
        <v>40577674</v>
      </c>
      <c r="B191" s="4" t="str">
        <f>""</f>
        <v/>
      </c>
      <c r="C191" s="4" t="str">
        <f>"700100440001"</f>
        <v>700100440001</v>
      </c>
      <c r="D191" s="4">
        <v>43</v>
      </c>
      <c r="E191" s="4" t="s">
        <v>132</v>
      </c>
      <c r="F191" s="4" t="s">
        <v>412</v>
      </c>
      <c r="G191" s="4" t="str">
        <f>"CNC9341TDK"</f>
        <v>CNC9341TDK</v>
      </c>
      <c r="H191" s="4" t="str">
        <f>"ELITEDISPLAY E243D 23,8"</f>
        <v>ELITEDISPLAY E243D 23,8</v>
      </c>
      <c r="I191" s="4" t="str">
        <f>"HP"</f>
        <v>HP</v>
      </c>
      <c r="J191" s="4"/>
      <c r="K191" s="4"/>
      <c r="L191" s="4">
        <v>297</v>
      </c>
      <c r="M191" s="4"/>
      <c r="N191" s="4" t="s">
        <v>233</v>
      </c>
      <c r="O191" s="4" t="s">
        <v>114</v>
      </c>
      <c r="P191" s="4" t="s">
        <v>428</v>
      </c>
      <c r="Q191" s="4" t="s">
        <v>54</v>
      </c>
      <c r="R191" s="4" t="s">
        <v>55</v>
      </c>
      <c r="S191" s="4" t="s">
        <v>56</v>
      </c>
      <c r="T191" s="4">
        <v>6</v>
      </c>
      <c r="U191" s="4" t="s">
        <v>57</v>
      </c>
      <c r="V191" s="4">
        <v>97459</v>
      </c>
      <c r="W191" s="4" t="s">
        <v>58</v>
      </c>
      <c r="X191" s="4">
        <v>1717662512</v>
      </c>
      <c r="Y191" s="4" t="s">
        <v>71</v>
      </c>
      <c r="Z191" s="4" t="s">
        <v>55</v>
      </c>
      <c r="AA191" s="4" t="s">
        <v>116</v>
      </c>
      <c r="AB191" s="4" t="s">
        <v>61</v>
      </c>
      <c r="AC191" s="4" t="s">
        <v>73</v>
      </c>
      <c r="AD191" s="4" t="s">
        <v>62</v>
      </c>
      <c r="AE191" s="4" t="s">
        <v>55</v>
      </c>
      <c r="AF191" s="4" t="s">
        <v>55</v>
      </c>
      <c r="AG191" s="4" t="s">
        <v>466</v>
      </c>
      <c r="AH191" s="4">
        <v>0</v>
      </c>
      <c r="AI191" s="4" t="s">
        <v>312</v>
      </c>
      <c r="AJ191" s="4" t="s">
        <v>55</v>
      </c>
      <c r="AK191" s="5">
        <v>45968</v>
      </c>
      <c r="AL191" s="6">
        <v>45968</v>
      </c>
      <c r="AM191" s="6">
        <v>46081</v>
      </c>
      <c r="AN191" s="4">
        <v>1</v>
      </c>
      <c r="AO191" s="6">
        <v>46332</v>
      </c>
      <c r="AP191" s="4">
        <v>297</v>
      </c>
      <c r="AQ191" s="4" t="s">
        <v>447</v>
      </c>
      <c r="AR191" s="4" t="s">
        <v>463</v>
      </c>
      <c r="AS191" s="4" t="s">
        <v>464</v>
      </c>
      <c r="AT191" s="4" t="s">
        <v>49</v>
      </c>
    </row>
    <row r="192" spans="1:46" ht="60" x14ac:dyDescent="0.25">
      <c r="A192" s="4">
        <v>40586208</v>
      </c>
      <c r="B192" s="4" t="str">
        <f>""</f>
        <v/>
      </c>
      <c r="C192" s="4" t="str">
        <f>"700100960001"</f>
        <v>700100960001</v>
      </c>
      <c r="D192" s="4">
        <v>72</v>
      </c>
      <c r="E192" s="4" t="s">
        <v>132</v>
      </c>
      <c r="F192" s="4" t="s">
        <v>404</v>
      </c>
      <c r="G192" s="4" t="str">
        <f>"2F7MHJ"</f>
        <v>2F7MHJ</v>
      </c>
      <c r="H192" s="4" t="str">
        <f>"BLACKWIRE 3220-C3220 USB-A"</f>
        <v>BLACKWIRE 3220-C3220 USB-A</v>
      </c>
      <c r="I192" s="4" t="str">
        <f>"PLANTRONICS"</f>
        <v>PLANTRONICS</v>
      </c>
      <c r="J192" s="4"/>
      <c r="K192" s="4"/>
      <c r="L192" s="4" t="s">
        <v>467</v>
      </c>
      <c r="M192" s="4"/>
      <c r="N192" s="4" t="s">
        <v>406</v>
      </c>
      <c r="O192" s="4" t="s">
        <v>255</v>
      </c>
      <c r="P192" s="4" t="s">
        <v>407</v>
      </c>
      <c r="Q192" s="4" t="s">
        <v>54</v>
      </c>
      <c r="R192" s="4" t="s">
        <v>55</v>
      </c>
      <c r="S192" s="4" t="s">
        <v>56</v>
      </c>
      <c r="T192" s="4">
        <v>6</v>
      </c>
      <c r="U192" s="4" t="s">
        <v>57</v>
      </c>
      <c r="V192" s="4">
        <v>97459</v>
      </c>
      <c r="W192" s="4" t="s">
        <v>58</v>
      </c>
      <c r="X192" s="4">
        <v>1717662512</v>
      </c>
      <c r="Y192" s="4" t="s">
        <v>71</v>
      </c>
      <c r="Z192" s="4" t="s">
        <v>55</v>
      </c>
      <c r="AA192" s="4" t="s">
        <v>116</v>
      </c>
      <c r="AB192" s="4" t="s">
        <v>61</v>
      </c>
      <c r="AC192" s="4" t="s">
        <v>73</v>
      </c>
      <c r="AD192" s="4" t="s">
        <v>62</v>
      </c>
      <c r="AE192" s="4" t="s">
        <v>55</v>
      </c>
      <c r="AF192" s="4" t="s">
        <v>55</v>
      </c>
      <c r="AG192" s="4" t="s">
        <v>468</v>
      </c>
      <c r="AH192" s="4">
        <v>0</v>
      </c>
      <c r="AI192" s="4" t="s">
        <v>312</v>
      </c>
      <c r="AJ192" s="4" t="s">
        <v>55</v>
      </c>
      <c r="AK192" s="5">
        <v>45972</v>
      </c>
      <c r="AL192" s="6">
        <v>45972</v>
      </c>
      <c r="AM192" s="6">
        <v>46081</v>
      </c>
      <c r="AN192" s="4">
        <v>3</v>
      </c>
      <c r="AO192" s="6">
        <v>47066</v>
      </c>
      <c r="AP192" s="4" t="s">
        <v>467</v>
      </c>
      <c r="AQ192" s="4" t="s">
        <v>469</v>
      </c>
      <c r="AR192" s="4" t="s">
        <v>470</v>
      </c>
      <c r="AS192" s="4" t="s">
        <v>422</v>
      </c>
      <c r="AT192" s="4" t="s">
        <v>49</v>
      </c>
    </row>
    <row r="193" spans="1:46" ht="60" x14ac:dyDescent="0.25">
      <c r="A193" s="4">
        <v>40586847</v>
      </c>
      <c r="B193" s="4" t="str">
        <f>""</f>
        <v/>
      </c>
      <c r="C193" s="4" t="str">
        <f>"700100960001"</f>
        <v>700100960001</v>
      </c>
      <c r="D193" s="4">
        <v>76</v>
      </c>
      <c r="E193" s="4" t="s">
        <v>132</v>
      </c>
      <c r="F193" s="4" t="s">
        <v>404</v>
      </c>
      <c r="G193" s="4" t="str">
        <f>"2XAL7B"</f>
        <v>2XAL7B</v>
      </c>
      <c r="H193" s="4" t="str">
        <f>"BLACKWIRE 3220-C3220 USB-A"</f>
        <v>BLACKWIRE 3220-C3220 USB-A</v>
      </c>
      <c r="I193" s="4" t="str">
        <f>"PLANTRONICS"</f>
        <v>PLANTRONICS</v>
      </c>
      <c r="J193" s="4"/>
      <c r="K193" s="4"/>
      <c r="L193" s="4" t="s">
        <v>418</v>
      </c>
      <c r="M193" s="4"/>
      <c r="N193" s="4" t="s">
        <v>406</v>
      </c>
      <c r="O193" s="4" t="s">
        <v>255</v>
      </c>
      <c r="P193" s="4" t="s">
        <v>407</v>
      </c>
      <c r="Q193" s="4" t="s">
        <v>54</v>
      </c>
      <c r="R193" s="4" t="s">
        <v>55</v>
      </c>
      <c r="S193" s="4" t="s">
        <v>56</v>
      </c>
      <c r="T193" s="4">
        <v>6</v>
      </c>
      <c r="U193" s="4" t="s">
        <v>57</v>
      </c>
      <c r="V193" s="4">
        <v>97459</v>
      </c>
      <c r="W193" s="4" t="s">
        <v>58</v>
      </c>
      <c r="X193" s="4">
        <v>1717662512</v>
      </c>
      <c r="Y193" s="4" t="s">
        <v>71</v>
      </c>
      <c r="Z193" s="4" t="s">
        <v>55</v>
      </c>
      <c r="AA193" s="4" t="s">
        <v>116</v>
      </c>
      <c r="AB193" s="4" t="s">
        <v>61</v>
      </c>
      <c r="AC193" s="4" t="s">
        <v>73</v>
      </c>
      <c r="AD193" s="4" t="s">
        <v>62</v>
      </c>
      <c r="AE193" s="4" t="s">
        <v>55</v>
      </c>
      <c r="AF193" s="4" t="s">
        <v>55</v>
      </c>
      <c r="AG193" s="4" t="s">
        <v>471</v>
      </c>
      <c r="AH193" s="4">
        <v>0</v>
      </c>
      <c r="AI193" s="4" t="s">
        <v>312</v>
      </c>
      <c r="AJ193" s="4" t="s">
        <v>55</v>
      </c>
      <c r="AK193" s="5">
        <v>45972</v>
      </c>
      <c r="AL193" s="6">
        <v>45972</v>
      </c>
      <c r="AM193" s="6">
        <v>46081</v>
      </c>
      <c r="AN193" s="4">
        <v>3</v>
      </c>
      <c r="AO193" s="6">
        <v>47066</v>
      </c>
      <c r="AP193" s="4" t="s">
        <v>418</v>
      </c>
      <c r="AQ193" s="4" t="s">
        <v>420</v>
      </c>
      <c r="AR193" s="4" t="s">
        <v>472</v>
      </c>
      <c r="AS193" s="4" t="s">
        <v>473</v>
      </c>
      <c r="AT193" s="4" t="s">
        <v>49</v>
      </c>
    </row>
    <row r="194" spans="1:46" ht="60" x14ac:dyDescent="0.25">
      <c r="A194" s="4">
        <v>40586895</v>
      </c>
      <c r="B194" s="4" t="str">
        <f>""</f>
        <v/>
      </c>
      <c r="C194" s="4" t="str">
        <f>"700100960001"</f>
        <v>700100960001</v>
      </c>
      <c r="D194" s="4">
        <v>78</v>
      </c>
      <c r="E194" s="4" t="s">
        <v>132</v>
      </c>
      <c r="F194" s="4" t="s">
        <v>404</v>
      </c>
      <c r="G194" s="4" t="str">
        <f>"2229F3"</f>
        <v>2229F3</v>
      </c>
      <c r="H194" s="4" t="str">
        <f>"BLACKWIRE 3220-C3220 USB-A"</f>
        <v>BLACKWIRE 3220-C3220 USB-A</v>
      </c>
      <c r="I194" s="4" t="str">
        <f>"PLANTRONICS"</f>
        <v>PLANTRONICS</v>
      </c>
      <c r="J194" s="4"/>
      <c r="K194" s="4"/>
      <c r="L194" s="4" t="s">
        <v>441</v>
      </c>
      <c r="M194" s="4"/>
      <c r="N194" s="4" t="s">
        <v>406</v>
      </c>
      <c r="O194" s="4" t="s">
        <v>255</v>
      </c>
      <c r="P194" s="4" t="s">
        <v>407</v>
      </c>
      <c r="Q194" s="4" t="s">
        <v>54</v>
      </c>
      <c r="R194" s="4" t="s">
        <v>55</v>
      </c>
      <c r="S194" s="4" t="s">
        <v>56</v>
      </c>
      <c r="T194" s="4">
        <v>6</v>
      </c>
      <c r="U194" s="4" t="s">
        <v>57</v>
      </c>
      <c r="V194" s="4">
        <v>97459</v>
      </c>
      <c r="W194" s="4" t="s">
        <v>58</v>
      </c>
      <c r="X194" s="4">
        <v>1722641816</v>
      </c>
      <c r="Y194" s="4" t="s">
        <v>222</v>
      </c>
      <c r="Z194" s="4" t="s">
        <v>55</v>
      </c>
      <c r="AA194" s="4" t="s">
        <v>116</v>
      </c>
      <c r="AB194" s="4" t="s">
        <v>61</v>
      </c>
      <c r="AC194" s="4" t="s">
        <v>73</v>
      </c>
      <c r="AD194" s="4" t="s">
        <v>62</v>
      </c>
      <c r="AE194" s="4" t="s">
        <v>55</v>
      </c>
      <c r="AF194" s="4" t="s">
        <v>55</v>
      </c>
      <c r="AG194" s="4" t="s">
        <v>474</v>
      </c>
      <c r="AH194" s="4">
        <v>0</v>
      </c>
      <c r="AI194" s="4" t="s">
        <v>312</v>
      </c>
      <c r="AJ194" s="4" t="s">
        <v>55</v>
      </c>
      <c r="AK194" s="5">
        <v>45972</v>
      </c>
      <c r="AL194" s="6">
        <v>45972</v>
      </c>
      <c r="AM194" s="6">
        <v>46081</v>
      </c>
      <c r="AN194" s="4">
        <v>3</v>
      </c>
      <c r="AO194" s="6">
        <v>47066</v>
      </c>
      <c r="AP194" s="4" t="s">
        <v>441</v>
      </c>
      <c r="AQ194" s="4" t="s">
        <v>443</v>
      </c>
      <c r="AR194" s="4" t="s">
        <v>475</v>
      </c>
      <c r="AS194" s="4" t="s">
        <v>476</v>
      </c>
      <c r="AT194" s="4" t="s">
        <v>49</v>
      </c>
    </row>
    <row r="195" spans="1:46" ht="75" x14ac:dyDescent="0.25">
      <c r="A195" s="4">
        <v>40631235</v>
      </c>
      <c r="B195" s="4" t="str">
        <f>""</f>
        <v/>
      </c>
      <c r="C195" s="4" t="str">
        <f>"700100070001"</f>
        <v>700100070001</v>
      </c>
      <c r="D195" s="4">
        <v>117</v>
      </c>
      <c r="E195" s="4" t="s">
        <v>132</v>
      </c>
      <c r="F195" s="4" t="s">
        <v>316</v>
      </c>
      <c r="G195" s="4" t="str">
        <f>"FJF4CS3"</f>
        <v>FJF4CS3</v>
      </c>
      <c r="H195" s="4" t="str">
        <f>"LATITUDE 3520"</f>
        <v>LATITUDE 3520</v>
      </c>
      <c r="I195" s="4" t="str">
        <f>"DELL"</f>
        <v>DELL</v>
      </c>
      <c r="J195" s="4"/>
      <c r="K195" s="4"/>
      <c r="L195" s="4">
        <v>1135</v>
      </c>
      <c r="M195" s="4"/>
      <c r="N195" s="4" t="s">
        <v>113</v>
      </c>
      <c r="O195" s="4" t="s">
        <v>114</v>
      </c>
      <c r="P195" s="4" t="s">
        <v>423</v>
      </c>
      <c r="Q195" s="4" t="s">
        <v>54</v>
      </c>
      <c r="R195" s="4" t="s">
        <v>55</v>
      </c>
      <c r="S195" s="4" t="s">
        <v>56</v>
      </c>
      <c r="T195" s="4">
        <v>6</v>
      </c>
      <c r="U195" s="4" t="s">
        <v>57</v>
      </c>
      <c r="V195" s="4">
        <v>97459</v>
      </c>
      <c r="W195" s="4" t="s">
        <v>58</v>
      </c>
      <c r="X195" s="4">
        <v>1717662512</v>
      </c>
      <c r="Y195" s="4" t="s">
        <v>71</v>
      </c>
      <c r="Z195" s="4" t="s">
        <v>55</v>
      </c>
      <c r="AA195" s="4" t="s">
        <v>116</v>
      </c>
      <c r="AB195" s="4" t="s">
        <v>61</v>
      </c>
      <c r="AC195" s="4" t="s">
        <v>73</v>
      </c>
      <c r="AD195" s="4" t="s">
        <v>62</v>
      </c>
      <c r="AE195" s="4" t="s">
        <v>55</v>
      </c>
      <c r="AF195" s="4" t="s">
        <v>55</v>
      </c>
      <c r="AG195" s="4" t="s">
        <v>477</v>
      </c>
      <c r="AH195" s="4">
        <v>0</v>
      </c>
      <c r="AI195" s="4" t="s">
        <v>312</v>
      </c>
      <c r="AJ195" s="4" t="s">
        <v>55</v>
      </c>
      <c r="AK195" s="5">
        <v>45985</v>
      </c>
      <c r="AL195" s="6">
        <v>45985</v>
      </c>
      <c r="AM195" s="6">
        <v>46081</v>
      </c>
      <c r="AN195" s="4">
        <v>3</v>
      </c>
      <c r="AO195" s="6">
        <v>47079</v>
      </c>
      <c r="AP195" s="4">
        <v>1225</v>
      </c>
      <c r="AQ195" s="4" t="s">
        <v>425</v>
      </c>
      <c r="AR195" s="4" t="s">
        <v>426</v>
      </c>
      <c r="AS195" s="4" t="s">
        <v>427</v>
      </c>
      <c r="AT195" s="4" t="s">
        <v>49</v>
      </c>
    </row>
    <row r="196" spans="1:46" ht="60" x14ac:dyDescent="0.25">
      <c r="A196" s="4">
        <v>40588670</v>
      </c>
      <c r="B196" s="4" t="str">
        <f>""</f>
        <v/>
      </c>
      <c r="C196" s="4" t="str">
        <f>"700100960001"</f>
        <v>700100960001</v>
      </c>
      <c r="D196" s="4">
        <v>85</v>
      </c>
      <c r="E196" s="4" t="s">
        <v>132</v>
      </c>
      <c r="F196" s="4" t="s">
        <v>404</v>
      </c>
      <c r="G196" s="4" t="str">
        <f>"2F7PJV"</f>
        <v>2F7PJV</v>
      </c>
      <c r="H196" s="4" t="str">
        <f>"BLACKWIRE 3220-C3220 USB-A"</f>
        <v>BLACKWIRE 3220-C3220 USB-A</v>
      </c>
      <c r="I196" s="4" t="str">
        <f>"PLANTRONICS"</f>
        <v>PLANTRONICS</v>
      </c>
      <c r="J196" s="4"/>
      <c r="K196" s="4"/>
      <c r="L196" s="4" t="s">
        <v>467</v>
      </c>
      <c r="M196" s="4"/>
      <c r="N196" s="4" t="s">
        <v>406</v>
      </c>
      <c r="O196" s="4" t="s">
        <v>255</v>
      </c>
      <c r="P196" s="4" t="s">
        <v>407</v>
      </c>
      <c r="Q196" s="4" t="s">
        <v>54</v>
      </c>
      <c r="R196" s="4" t="s">
        <v>55</v>
      </c>
      <c r="S196" s="4" t="s">
        <v>56</v>
      </c>
      <c r="T196" s="4">
        <v>6</v>
      </c>
      <c r="U196" s="4" t="s">
        <v>57</v>
      </c>
      <c r="V196" s="4">
        <v>97459</v>
      </c>
      <c r="W196" s="4" t="s">
        <v>58</v>
      </c>
      <c r="X196" s="4">
        <v>1717662512</v>
      </c>
      <c r="Y196" s="4" t="s">
        <v>71</v>
      </c>
      <c r="Z196" s="4" t="s">
        <v>55</v>
      </c>
      <c r="AA196" s="4" t="s">
        <v>116</v>
      </c>
      <c r="AB196" s="4" t="s">
        <v>61</v>
      </c>
      <c r="AC196" s="4" t="s">
        <v>73</v>
      </c>
      <c r="AD196" s="4" t="s">
        <v>62</v>
      </c>
      <c r="AE196" s="4" t="s">
        <v>55</v>
      </c>
      <c r="AF196" s="4" t="s">
        <v>55</v>
      </c>
      <c r="AG196" s="4" t="s">
        <v>478</v>
      </c>
      <c r="AH196" s="4">
        <v>0</v>
      </c>
      <c r="AI196" s="4" t="s">
        <v>312</v>
      </c>
      <c r="AJ196" s="4" t="s">
        <v>55</v>
      </c>
      <c r="AK196" s="5">
        <v>45973</v>
      </c>
      <c r="AL196" s="6">
        <v>45973</v>
      </c>
      <c r="AM196" s="6">
        <v>46081</v>
      </c>
      <c r="AN196" s="4">
        <v>3</v>
      </c>
      <c r="AO196" s="6">
        <v>47067</v>
      </c>
      <c r="AP196" s="4" t="s">
        <v>467</v>
      </c>
      <c r="AQ196" s="4" t="s">
        <v>469</v>
      </c>
      <c r="AR196" s="4" t="s">
        <v>479</v>
      </c>
      <c r="AS196" s="4" t="s">
        <v>480</v>
      </c>
      <c r="AT196" s="4" t="s">
        <v>49</v>
      </c>
    </row>
    <row r="197" spans="1:46" ht="60" x14ac:dyDescent="0.25">
      <c r="A197" s="4">
        <v>40565757</v>
      </c>
      <c r="B197" s="4" t="str">
        <f>""</f>
        <v/>
      </c>
      <c r="C197" s="4" t="str">
        <f>"700100070001"</f>
        <v>700100070001</v>
      </c>
      <c r="D197" s="4">
        <v>31</v>
      </c>
      <c r="E197" s="4" t="s">
        <v>132</v>
      </c>
      <c r="F197" s="4" t="s">
        <v>316</v>
      </c>
      <c r="G197" s="4" t="str">
        <f>"PC1A0XKT"</f>
        <v>PC1A0XKT</v>
      </c>
      <c r="H197" s="4" t="str">
        <f>"THINKPAD T490"</f>
        <v>THINKPAD T490</v>
      </c>
      <c r="I197" s="4" t="str">
        <f>"LENOVO"</f>
        <v>LENOVO</v>
      </c>
      <c r="J197" s="4"/>
      <c r="K197" s="4"/>
      <c r="L197" s="4">
        <v>1194</v>
      </c>
      <c r="M197" s="4"/>
      <c r="N197" s="4" t="s">
        <v>113</v>
      </c>
      <c r="O197" s="4" t="s">
        <v>255</v>
      </c>
      <c r="P197" s="4" t="s">
        <v>392</v>
      </c>
      <c r="Q197" s="4" t="s">
        <v>54</v>
      </c>
      <c r="R197" s="4" t="s">
        <v>55</v>
      </c>
      <c r="S197" s="4" t="s">
        <v>56</v>
      </c>
      <c r="T197" s="4">
        <v>6</v>
      </c>
      <c r="U197" s="4" t="s">
        <v>57</v>
      </c>
      <c r="V197" s="4">
        <v>97459</v>
      </c>
      <c r="W197" s="4" t="s">
        <v>58</v>
      </c>
      <c r="X197" s="4">
        <v>1717662512</v>
      </c>
      <c r="Y197" s="4" t="s">
        <v>71</v>
      </c>
      <c r="Z197" s="4" t="s">
        <v>55</v>
      </c>
      <c r="AA197" s="4" t="s">
        <v>116</v>
      </c>
      <c r="AB197" s="4" t="s">
        <v>61</v>
      </c>
      <c r="AC197" s="4" t="s">
        <v>73</v>
      </c>
      <c r="AD197" s="4" t="s">
        <v>62</v>
      </c>
      <c r="AE197" s="4" t="s">
        <v>55</v>
      </c>
      <c r="AF197" s="4" t="s">
        <v>55</v>
      </c>
      <c r="AG197" s="4" t="s">
        <v>481</v>
      </c>
      <c r="AH197" s="4">
        <v>0</v>
      </c>
      <c r="AI197" s="4" t="s">
        <v>312</v>
      </c>
      <c r="AJ197" s="4" t="s">
        <v>55</v>
      </c>
      <c r="AK197" s="5">
        <v>45967</v>
      </c>
      <c r="AL197" s="6">
        <v>45967</v>
      </c>
      <c r="AM197" s="6">
        <v>46081</v>
      </c>
      <c r="AN197" s="4">
        <v>3</v>
      </c>
      <c r="AO197" s="6">
        <v>47061</v>
      </c>
      <c r="AP197" s="4">
        <v>1194</v>
      </c>
      <c r="AQ197" s="4" t="s">
        <v>394</v>
      </c>
      <c r="AR197" s="4" t="s">
        <v>395</v>
      </c>
      <c r="AS197" s="4" t="s">
        <v>396</v>
      </c>
      <c r="AT197" s="4" t="s">
        <v>49</v>
      </c>
    </row>
    <row r="198" spans="1:46" ht="60" x14ac:dyDescent="0.25">
      <c r="A198" s="4">
        <v>40586766</v>
      </c>
      <c r="B198" s="4" t="str">
        <f>""</f>
        <v/>
      </c>
      <c r="C198" s="4" t="str">
        <f>"700100960001"</f>
        <v>700100960001</v>
      </c>
      <c r="D198" s="4">
        <v>75</v>
      </c>
      <c r="E198" s="4" t="s">
        <v>132</v>
      </c>
      <c r="F198" s="4" t="s">
        <v>404</v>
      </c>
      <c r="G198" s="4" t="str">
        <f>"2V1H5U"</f>
        <v>2V1H5U</v>
      </c>
      <c r="H198" s="4" t="str">
        <f>"BLACKWIRE 3220-C3220 USB-A"</f>
        <v>BLACKWIRE 3220-C3220 USB-A</v>
      </c>
      <c r="I198" s="4" t="str">
        <f>"PLANTRONICS"</f>
        <v>PLANTRONICS</v>
      </c>
      <c r="J198" s="4"/>
      <c r="K198" s="4"/>
      <c r="L198" s="4" t="s">
        <v>418</v>
      </c>
      <c r="M198" s="4"/>
      <c r="N198" s="4" t="s">
        <v>406</v>
      </c>
      <c r="O198" s="4" t="s">
        <v>255</v>
      </c>
      <c r="P198" s="4" t="s">
        <v>407</v>
      </c>
      <c r="Q198" s="4" t="s">
        <v>54</v>
      </c>
      <c r="R198" s="4" t="s">
        <v>55</v>
      </c>
      <c r="S198" s="4" t="s">
        <v>56</v>
      </c>
      <c r="T198" s="4">
        <v>6</v>
      </c>
      <c r="U198" s="4" t="s">
        <v>57</v>
      </c>
      <c r="V198" s="4">
        <v>97459</v>
      </c>
      <c r="W198" s="4" t="s">
        <v>58</v>
      </c>
      <c r="X198" s="4">
        <v>1717662512</v>
      </c>
      <c r="Y198" s="4" t="s">
        <v>71</v>
      </c>
      <c r="Z198" s="4" t="s">
        <v>55</v>
      </c>
      <c r="AA198" s="4" t="s">
        <v>116</v>
      </c>
      <c r="AB198" s="4" t="s">
        <v>61</v>
      </c>
      <c r="AC198" s="4" t="s">
        <v>73</v>
      </c>
      <c r="AD198" s="4" t="s">
        <v>62</v>
      </c>
      <c r="AE198" s="4" t="s">
        <v>55</v>
      </c>
      <c r="AF198" s="4" t="s">
        <v>55</v>
      </c>
      <c r="AG198" s="4" t="s">
        <v>482</v>
      </c>
      <c r="AH198" s="4">
        <v>0</v>
      </c>
      <c r="AI198" s="4" t="s">
        <v>312</v>
      </c>
      <c r="AJ198" s="4" t="s">
        <v>55</v>
      </c>
      <c r="AK198" s="5">
        <v>45972</v>
      </c>
      <c r="AL198" s="6">
        <v>45972</v>
      </c>
      <c r="AM198" s="6">
        <v>46081</v>
      </c>
      <c r="AN198" s="4">
        <v>3</v>
      </c>
      <c r="AO198" s="6">
        <v>47066</v>
      </c>
      <c r="AP198" s="4" t="s">
        <v>418</v>
      </c>
      <c r="AQ198" s="4" t="s">
        <v>420</v>
      </c>
      <c r="AR198" s="4" t="s">
        <v>472</v>
      </c>
      <c r="AS198" s="4" t="s">
        <v>473</v>
      </c>
      <c r="AT198" s="4" t="s">
        <v>49</v>
      </c>
    </row>
    <row r="199" spans="1:46" ht="60" x14ac:dyDescent="0.25">
      <c r="A199" s="4">
        <v>40588882</v>
      </c>
      <c r="B199" s="4" t="str">
        <f>""</f>
        <v/>
      </c>
      <c r="C199" s="4" t="str">
        <f>"700100960001"</f>
        <v>700100960001</v>
      </c>
      <c r="D199" s="4">
        <v>89</v>
      </c>
      <c r="E199" s="4" t="s">
        <v>132</v>
      </c>
      <c r="F199" s="4" t="s">
        <v>404</v>
      </c>
      <c r="G199" s="4" t="str">
        <f>"2XAL5V"</f>
        <v>2XAL5V</v>
      </c>
      <c r="H199" s="4" t="str">
        <f>"BLACKWIRE 3220-C3220 USB-A"</f>
        <v>BLACKWIRE 3220-C3220 USB-A</v>
      </c>
      <c r="I199" s="4" t="str">
        <f>"PLANTRONICS"</f>
        <v>PLANTRONICS</v>
      </c>
      <c r="J199" s="4"/>
      <c r="K199" s="4"/>
      <c r="L199" s="4" t="s">
        <v>418</v>
      </c>
      <c r="M199" s="4"/>
      <c r="N199" s="4" t="s">
        <v>406</v>
      </c>
      <c r="O199" s="4" t="s">
        <v>255</v>
      </c>
      <c r="P199" s="4" t="s">
        <v>407</v>
      </c>
      <c r="Q199" s="4" t="s">
        <v>54</v>
      </c>
      <c r="R199" s="4" t="s">
        <v>55</v>
      </c>
      <c r="S199" s="4" t="s">
        <v>56</v>
      </c>
      <c r="T199" s="4">
        <v>6</v>
      </c>
      <c r="U199" s="4" t="s">
        <v>57</v>
      </c>
      <c r="V199" s="4">
        <v>97459</v>
      </c>
      <c r="W199" s="4" t="s">
        <v>58</v>
      </c>
      <c r="X199" s="4">
        <v>1717662512</v>
      </c>
      <c r="Y199" s="4" t="s">
        <v>71</v>
      </c>
      <c r="Z199" s="4" t="s">
        <v>55</v>
      </c>
      <c r="AA199" s="4" t="s">
        <v>116</v>
      </c>
      <c r="AB199" s="4" t="s">
        <v>61</v>
      </c>
      <c r="AC199" s="4" t="s">
        <v>73</v>
      </c>
      <c r="AD199" s="4" t="s">
        <v>62</v>
      </c>
      <c r="AE199" s="4" t="s">
        <v>55</v>
      </c>
      <c r="AF199" s="4" t="s">
        <v>55</v>
      </c>
      <c r="AG199" s="4" t="s">
        <v>483</v>
      </c>
      <c r="AH199" s="4">
        <v>0</v>
      </c>
      <c r="AI199" s="4" t="s">
        <v>312</v>
      </c>
      <c r="AJ199" s="4" t="s">
        <v>55</v>
      </c>
      <c r="AK199" s="5">
        <v>45973</v>
      </c>
      <c r="AL199" s="6">
        <v>45973</v>
      </c>
      <c r="AM199" s="6">
        <v>46081</v>
      </c>
      <c r="AN199" s="4">
        <v>3</v>
      </c>
      <c r="AO199" s="6">
        <v>47067</v>
      </c>
      <c r="AP199" s="4" t="s">
        <v>418</v>
      </c>
      <c r="AQ199" s="4" t="s">
        <v>420</v>
      </c>
      <c r="AR199" s="4" t="s">
        <v>421</v>
      </c>
      <c r="AS199" s="4" t="s">
        <v>422</v>
      </c>
      <c r="AT199" s="4" t="s">
        <v>49</v>
      </c>
    </row>
    <row r="200" spans="1:46" ht="60" x14ac:dyDescent="0.25">
      <c r="A200" s="4">
        <v>40565324</v>
      </c>
      <c r="B200" s="4" t="str">
        <f>""</f>
        <v/>
      </c>
      <c r="C200" s="4" t="str">
        <f>"700100070001"</f>
        <v>700100070001</v>
      </c>
      <c r="D200" s="4">
        <v>19</v>
      </c>
      <c r="E200" s="4" t="s">
        <v>132</v>
      </c>
      <c r="F200" s="4" t="s">
        <v>316</v>
      </c>
      <c r="G200" s="4" t="str">
        <f>"SPC18G353"</f>
        <v>SPC18G353</v>
      </c>
      <c r="H200" s="4" t="str">
        <f>"THINKPAD T490"</f>
        <v>THINKPAD T490</v>
      </c>
      <c r="I200" s="4" t="str">
        <f>"LENOVO"</f>
        <v>LENOVO</v>
      </c>
      <c r="J200" s="4"/>
      <c r="K200" s="4"/>
      <c r="L200" s="4">
        <v>1213</v>
      </c>
      <c r="M200" s="4"/>
      <c r="N200" s="4" t="s">
        <v>113</v>
      </c>
      <c r="O200" s="4" t="s">
        <v>255</v>
      </c>
      <c r="P200" s="4" t="s">
        <v>392</v>
      </c>
      <c r="Q200" s="4" t="s">
        <v>54</v>
      </c>
      <c r="R200" s="4" t="s">
        <v>55</v>
      </c>
      <c r="S200" s="4" t="s">
        <v>56</v>
      </c>
      <c r="T200" s="4">
        <v>6</v>
      </c>
      <c r="U200" s="4" t="s">
        <v>57</v>
      </c>
      <c r="V200" s="4">
        <v>97459</v>
      </c>
      <c r="W200" s="4" t="s">
        <v>58</v>
      </c>
      <c r="X200" s="4">
        <v>1717662512</v>
      </c>
      <c r="Y200" s="4" t="s">
        <v>71</v>
      </c>
      <c r="Z200" s="4" t="s">
        <v>55</v>
      </c>
      <c r="AA200" s="4" t="s">
        <v>116</v>
      </c>
      <c r="AB200" s="4" t="s">
        <v>61</v>
      </c>
      <c r="AC200" s="4" t="s">
        <v>73</v>
      </c>
      <c r="AD200" s="4" t="s">
        <v>62</v>
      </c>
      <c r="AE200" s="4" t="s">
        <v>55</v>
      </c>
      <c r="AF200" s="4" t="s">
        <v>55</v>
      </c>
      <c r="AG200" s="4" t="s">
        <v>484</v>
      </c>
      <c r="AH200" s="4">
        <v>0</v>
      </c>
      <c r="AI200" s="4" t="s">
        <v>312</v>
      </c>
      <c r="AJ200" s="4" t="s">
        <v>55</v>
      </c>
      <c r="AK200" s="5">
        <v>45967</v>
      </c>
      <c r="AL200" s="6">
        <v>45967</v>
      </c>
      <c r="AM200" s="6">
        <v>46081</v>
      </c>
      <c r="AN200" s="4">
        <v>3</v>
      </c>
      <c r="AO200" s="6">
        <v>47061</v>
      </c>
      <c r="AP200" s="4">
        <v>1213</v>
      </c>
      <c r="AQ200" s="4" t="s">
        <v>485</v>
      </c>
      <c r="AR200" s="4" t="s">
        <v>486</v>
      </c>
      <c r="AS200" s="4" t="s">
        <v>487</v>
      </c>
      <c r="AT200" s="4" t="s">
        <v>49</v>
      </c>
    </row>
    <row r="201" spans="1:46" ht="75" x14ac:dyDescent="0.25">
      <c r="A201" s="4">
        <v>40631236</v>
      </c>
      <c r="B201" s="4" t="str">
        <f>""</f>
        <v/>
      </c>
      <c r="C201" s="4" t="str">
        <f>"700100070001"</f>
        <v>700100070001</v>
      </c>
      <c r="D201" s="4">
        <v>118</v>
      </c>
      <c r="E201" s="4" t="s">
        <v>132</v>
      </c>
      <c r="F201" s="4" t="s">
        <v>316</v>
      </c>
      <c r="G201" s="4" t="str">
        <f>"FKF4CS3"</f>
        <v>FKF4CS3</v>
      </c>
      <c r="H201" s="4" t="str">
        <f>"LATITUDE 3520"</f>
        <v>LATITUDE 3520</v>
      </c>
      <c r="I201" s="4" t="str">
        <f>"DELL"</f>
        <v>DELL</v>
      </c>
      <c r="J201" s="4"/>
      <c r="K201" s="4"/>
      <c r="L201" s="4">
        <v>1135</v>
      </c>
      <c r="M201" s="4"/>
      <c r="N201" s="4" t="s">
        <v>113</v>
      </c>
      <c r="O201" s="4" t="s">
        <v>114</v>
      </c>
      <c r="P201" s="4" t="s">
        <v>423</v>
      </c>
      <c r="Q201" s="4" t="s">
        <v>54</v>
      </c>
      <c r="R201" s="4" t="s">
        <v>55</v>
      </c>
      <c r="S201" s="4" t="s">
        <v>56</v>
      </c>
      <c r="T201" s="4">
        <v>6</v>
      </c>
      <c r="U201" s="4" t="s">
        <v>57</v>
      </c>
      <c r="V201" s="4">
        <v>97459</v>
      </c>
      <c r="W201" s="4" t="s">
        <v>58</v>
      </c>
      <c r="X201" s="4">
        <v>1717662512</v>
      </c>
      <c r="Y201" s="4" t="s">
        <v>71</v>
      </c>
      <c r="Z201" s="4" t="s">
        <v>55</v>
      </c>
      <c r="AA201" s="4" t="s">
        <v>116</v>
      </c>
      <c r="AB201" s="4" t="s">
        <v>61</v>
      </c>
      <c r="AC201" s="4" t="s">
        <v>73</v>
      </c>
      <c r="AD201" s="4" t="s">
        <v>62</v>
      </c>
      <c r="AE201" s="4" t="s">
        <v>55</v>
      </c>
      <c r="AF201" s="4" t="s">
        <v>55</v>
      </c>
      <c r="AG201" s="4" t="s">
        <v>488</v>
      </c>
      <c r="AH201" s="4">
        <v>0</v>
      </c>
      <c r="AI201" s="4" t="s">
        <v>312</v>
      </c>
      <c r="AJ201" s="4" t="s">
        <v>55</v>
      </c>
      <c r="AK201" s="5">
        <v>45985</v>
      </c>
      <c r="AL201" s="6">
        <v>45985</v>
      </c>
      <c r="AM201" s="6">
        <v>46081</v>
      </c>
      <c r="AN201" s="4">
        <v>3</v>
      </c>
      <c r="AO201" s="6">
        <v>47079</v>
      </c>
      <c r="AP201" s="4">
        <v>1225</v>
      </c>
      <c r="AQ201" s="4" t="s">
        <v>425</v>
      </c>
      <c r="AR201" s="4" t="s">
        <v>426</v>
      </c>
      <c r="AS201" s="4" t="s">
        <v>427</v>
      </c>
      <c r="AT201" s="4" t="s">
        <v>49</v>
      </c>
    </row>
    <row r="202" spans="1:46" ht="60" x14ac:dyDescent="0.25">
      <c r="A202" s="4">
        <v>40577502</v>
      </c>
      <c r="B202" s="4" t="str">
        <f>""</f>
        <v/>
      </c>
      <c r="C202" s="4" t="str">
        <f>"700100440001"</f>
        <v>700100440001</v>
      </c>
      <c r="D202" s="4">
        <v>42</v>
      </c>
      <c r="E202" s="4" t="s">
        <v>132</v>
      </c>
      <c r="F202" s="4" t="s">
        <v>412</v>
      </c>
      <c r="G202" s="4" t="str">
        <f>"CNC9192TFF"</f>
        <v>CNC9192TFF</v>
      </c>
      <c r="H202" s="4" t="str">
        <f>"ELITEDISPLAY E243D 23,8"</f>
        <v>ELITEDISPLAY E243D 23,8</v>
      </c>
      <c r="I202" s="4" t="str">
        <f>"HP"</f>
        <v>HP</v>
      </c>
      <c r="J202" s="4"/>
      <c r="K202" s="4"/>
      <c r="L202" s="4">
        <v>298</v>
      </c>
      <c r="M202" s="4"/>
      <c r="N202" s="4" t="s">
        <v>233</v>
      </c>
      <c r="O202" s="4" t="s">
        <v>114</v>
      </c>
      <c r="P202" s="4" t="s">
        <v>428</v>
      </c>
      <c r="Q202" s="4" t="s">
        <v>54</v>
      </c>
      <c r="R202" s="4" t="s">
        <v>55</v>
      </c>
      <c r="S202" s="4" t="s">
        <v>56</v>
      </c>
      <c r="T202" s="4">
        <v>6</v>
      </c>
      <c r="U202" s="4" t="s">
        <v>57</v>
      </c>
      <c r="V202" s="4">
        <v>97459</v>
      </c>
      <c r="W202" s="4" t="s">
        <v>58</v>
      </c>
      <c r="X202" s="4">
        <v>1717662512</v>
      </c>
      <c r="Y202" s="4" t="s">
        <v>71</v>
      </c>
      <c r="Z202" s="4" t="s">
        <v>55</v>
      </c>
      <c r="AA202" s="4" t="s">
        <v>116</v>
      </c>
      <c r="AB202" s="4" t="s">
        <v>61</v>
      </c>
      <c r="AC202" s="4" t="s">
        <v>73</v>
      </c>
      <c r="AD202" s="4" t="s">
        <v>62</v>
      </c>
      <c r="AE202" s="4" t="s">
        <v>55</v>
      </c>
      <c r="AF202" s="4" t="s">
        <v>55</v>
      </c>
      <c r="AG202" s="4" t="s">
        <v>489</v>
      </c>
      <c r="AH202" s="4">
        <v>0</v>
      </c>
      <c r="AI202" s="4" t="s">
        <v>312</v>
      </c>
      <c r="AJ202" s="4" t="s">
        <v>55</v>
      </c>
      <c r="AK202" s="5">
        <v>45968</v>
      </c>
      <c r="AL202" s="6">
        <v>45968</v>
      </c>
      <c r="AM202" s="6">
        <v>46081</v>
      </c>
      <c r="AN202" s="4">
        <v>1</v>
      </c>
      <c r="AO202" s="6">
        <v>46332</v>
      </c>
      <c r="AP202" s="4">
        <v>298</v>
      </c>
      <c r="AQ202" s="4" t="s">
        <v>415</v>
      </c>
      <c r="AR202" s="4" t="s">
        <v>490</v>
      </c>
      <c r="AS202" s="4" t="s">
        <v>491</v>
      </c>
      <c r="AT202" s="4" t="s">
        <v>49</v>
      </c>
    </row>
    <row r="203" spans="1:46" ht="60" x14ac:dyDescent="0.25">
      <c r="A203" s="4">
        <v>40586878</v>
      </c>
      <c r="B203" s="4" t="str">
        <f>""</f>
        <v/>
      </c>
      <c r="C203" s="4" t="str">
        <f>"700100960001"</f>
        <v>700100960001</v>
      </c>
      <c r="D203" s="4">
        <v>77</v>
      </c>
      <c r="E203" s="4" t="s">
        <v>132</v>
      </c>
      <c r="F203" s="4" t="s">
        <v>404</v>
      </c>
      <c r="G203" s="4" t="str">
        <f>"2229ER"</f>
        <v>2229ER</v>
      </c>
      <c r="H203" s="4" t="str">
        <f>"BLACKWIRE 3220-C3220 USB-A"</f>
        <v>BLACKWIRE 3220-C3220 USB-A</v>
      </c>
      <c r="I203" s="4" t="str">
        <f>"PLANTRONICS"</f>
        <v>PLANTRONICS</v>
      </c>
      <c r="J203" s="4"/>
      <c r="K203" s="4"/>
      <c r="L203" s="4" t="s">
        <v>441</v>
      </c>
      <c r="M203" s="4"/>
      <c r="N203" s="4" t="s">
        <v>406</v>
      </c>
      <c r="O203" s="4" t="s">
        <v>255</v>
      </c>
      <c r="P203" s="4" t="s">
        <v>407</v>
      </c>
      <c r="Q203" s="4" t="s">
        <v>54</v>
      </c>
      <c r="R203" s="4" t="s">
        <v>55</v>
      </c>
      <c r="S203" s="4" t="s">
        <v>56</v>
      </c>
      <c r="T203" s="4">
        <v>6</v>
      </c>
      <c r="U203" s="4" t="s">
        <v>57</v>
      </c>
      <c r="V203" s="4">
        <v>97459</v>
      </c>
      <c r="W203" s="4" t="s">
        <v>58</v>
      </c>
      <c r="X203" s="4">
        <v>1717662512</v>
      </c>
      <c r="Y203" s="4" t="s">
        <v>71</v>
      </c>
      <c r="Z203" s="4" t="s">
        <v>55</v>
      </c>
      <c r="AA203" s="4" t="s">
        <v>116</v>
      </c>
      <c r="AB203" s="4" t="s">
        <v>61</v>
      </c>
      <c r="AC203" s="4" t="s">
        <v>73</v>
      </c>
      <c r="AD203" s="4" t="s">
        <v>62</v>
      </c>
      <c r="AE203" s="4" t="s">
        <v>55</v>
      </c>
      <c r="AF203" s="4" t="s">
        <v>55</v>
      </c>
      <c r="AG203" s="4" t="s">
        <v>492</v>
      </c>
      <c r="AH203" s="4">
        <v>0</v>
      </c>
      <c r="AI203" s="4" t="s">
        <v>312</v>
      </c>
      <c r="AJ203" s="4" t="s">
        <v>55</v>
      </c>
      <c r="AK203" s="5">
        <v>45972</v>
      </c>
      <c r="AL203" s="6">
        <v>45972</v>
      </c>
      <c r="AM203" s="6">
        <v>46081</v>
      </c>
      <c r="AN203" s="4">
        <v>3</v>
      </c>
      <c r="AO203" s="6">
        <v>47066</v>
      </c>
      <c r="AP203" s="4" t="s">
        <v>441</v>
      </c>
      <c r="AQ203" s="4" t="s">
        <v>443</v>
      </c>
      <c r="AR203" s="4" t="s">
        <v>475</v>
      </c>
      <c r="AS203" s="4" t="s">
        <v>476</v>
      </c>
      <c r="AT203" s="4" t="s">
        <v>49</v>
      </c>
    </row>
    <row r="204" spans="1:46" ht="60" x14ac:dyDescent="0.25">
      <c r="A204" s="4">
        <v>40577682</v>
      </c>
      <c r="B204" s="4" t="str">
        <f>""</f>
        <v/>
      </c>
      <c r="C204" s="4" t="str">
        <f>"700100440001"</f>
        <v>700100440001</v>
      </c>
      <c r="D204" s="4">
        <v>45</v>
      </c>
      <c r="E204" s="4" t="s">
        <v>132</v>
      </c>
      <c r="F204" s="4" t="s">
        <v>412</v>
      </c>
      <c r="G204" s="4" t="str">
        <f>"CNC9341VD6"</f>
        <v>CNC9341VD6</v>
      </c>
      <c r="H204" s="4" t="str">
        <f>"ELITEDISPLAY E243D 23,8"</f>
        <v>ELITEDISPLAY E243D 23,8</v>
      </c>
      <c r="I204" s="4" t="str">
        <f>"HP"</f>
        <v>HP</v>
      </c>
      <c r="J204" s="4"/>
      <c r="K204" s="4"/>
      <c r="L204" s="4">
        <v>297</v>
      </c>
      <c r="M204" s="4"/>
      <c r="N204" s="4" t="s">
        <v>233</v>
      </c>
      <c r="O204" s="4" t="s">
        <v>114</v>
      </c>
      <c r="P204" s="4" t="s">
        <v>428</v>
      </c>
      <c r="Q204" s="4" t="s">
        <v>54</v>
      </c>
      <c r="R204" s="4" t="s">
        <v>55</v>
      </c>
      <c r="S204" s="4" t="s">
        <v>56</v>
      </c>
      <c r="T204" s="4">
        <v>6</v>
      </c>
      <c r="U204" s="4" t="s">
        <v>57</v>
      </c>
      <c r="V204" s="4">
        <v>97459</v>
      </c>
      <c r="W204" s="4" t="s">
        <v>58</v>
      </c>
      <c r="X204" s="4">
        <v>1717662512</v>
      </c>
      <c r="Y204" s="4" t="s">
        <v>71</v>
      </c>
      <c r="Z204" s="4" t="s">
        <v>55</v>
      </c>
      <c r="AA204" s="4" t="s">
        <v>116</v>
      </c>
      <c r="AB204" s="4" t="s">
        <v>61</v>
      </c>
      <c r="AC204" s="4" t="s">
        <v>73</v>
      </c>
      <c r="AD204" s="4" t="s">
        <v>62</v>
      </c>
      <c r="AE204" s="4" t="s">
        <v>55</v>
      </c>
      <c r="AF204" s="4" t="s">
        <v>55</v>
      </c>
      <c r="AG204" s="4" t="s">
        <v>493</v>
      </c>
      <c r="AH204" s="4">
        <v>0</v>
      </c>
      <c r="AI204" s="4" t="s">
        <v>312</v>
      </c>
      <c r="AJ204" s="4" t="s">
        <v>55</v>
      </c>
      <c r="AK204" s="5">
        <v>45968</v>
      </c>
      <c r="AL204" s="6">
        <v>45968</v>
      </c>
      <c r="AM204" s="6">
        <v>46081</v>
      </c>
      <c r="AN204" s="4">
        <v>1</v>
      </c>
      <c r="AO204" s="6">
        <v>46332</v>
      </c>
      <c r="AP204" s="4">
        <v>297</v>
      </c>
      <c r="AQ204" s="4" t="s">
        <v>447</v>
      </c>
      <c r="AR204" s="4" t="s">
        <v>463</v>
      </c>
      <c r="AS204" s="4" t="s">
        <v>464</v>
      </c>
      <c r="AT204" s="4" t="s">
        <v>49</v>
      </c>
    </row>
    <row r="205" spans="1:46" ht="60" x14ac:dyDescent="0.25">
      <c r="A205" s="4">
        <v>40565844</v>
      </c>
      <c r="B205" s="4" t="str">
        <f>""</f>
        <v/>
      </c>
      <c r="C205" s="4" t="str">
        <f>"700100070001"</f>
        <v>700100070001</v>
      </c>
      <c r="D205" s="4">
        <v>33</v>
      </c>
      <c r="E205" s="4" t="s">
        <v>132</v>
      </c>
      <c r="F205" s="4" t="s">
        <v>316</v>
      </c>
      <c r="G205" s="4" t="str">
        <f>"SPC1EWQVZ"</f>
        <v>SPC1EWQVZ</v>
      </c>
      <c r="H205" s="4" t="str">
        <f>"THINKPAD T490"</f>
        <v>THINKPAD T490</v>
      </c>
      <c r="I205" s="4" t="str">
        <f>"LENOVO"</f>
        <v>LENOVO</v>
      </c>
      <c r="J205" s="4"/>
      <c r="K205" s="4"/>
      <c r="L205" s="4">
        <v>1183</v>
      </c>
      <c r="M205" s="4"/>
      <c r="N205" s="4" t="s">
        <v>113</v>
      </c>
      <c r="O205" s="4" t="s">
        <v>255</v>
      </c>
      <c r="P205" s="4" t="s">
        <v>392</v>
      </c>
      <c r="Q205" s="4" t="s">
        <v>54</v>
      </c>
      <c r="R205" s="4" t="s">
        <v>55</v>
      </c>
      <c r="S205" s="4" t="s">
        <v>56</v>
      </c>
      <c r="T205" s="4">
        <v>6</v>
      </c>
      <c r="U205" s="4" t="s">
        <v>57</v>
      </c>
      <c r="V205" s="4">
        <v>97459</v>
      </c>
      <c r="W205" s="4" t="s">
        <v>58</v>
      </c>
      <c r="X205" s="4">
        <v>1717662512</v>
      </c>
      <c r="Y205" s="4" t="s">
        <v>71</v>
      </c>
      <c r="Z205" s="4" t="s">
        <v>55</v>
      </c>
      <c r="AA205" s="4" t="s">
        <v>116</v>
      </c>
      <c r="AB205" s="4" t="s">
        <v>61</v>
      </c>
      <c r="AC205" s="4" t="s">
        <v>73</v>
      </c>
      <c r="AD205" s="4" t="s">
        <v>62</v>
      </c>
      <c r="AE205" s="4" t="s">
        <v>55</v>
      </c>
      <c r="AF205" s="4" t="s">
        <v>55</v>
      </c>
      <c r="AG205" s="4" t="s">
        <v>494</v>
      </c>
      <c r="AH205" s="4">
        <v>0</v>
      </c>
      <c r="AI205" s="4" t="s">
        <v>312</v>
      </c>
      <c r="AJ205" s="4" t="s">
        <v>55</v>
      </c>
      <c r="AK205" s="5">
        <v>45967</v>
      </c>
      <c r="AL205" s="6">
        <v>45967</v>
      </c>
      <c r="AM205" s="6">
        <v>46081</v>
      </c>
      <c r="AN205" s="4">
        <v>3</v>
      </c>
      <c r="AO205" s="6">
        <v>47061</v>
      </c>
      <c r="AP205" s="4">
        <v>1183</v>
      </c>
      <c r="AQ205" s="4" t="s">
        <v>398</v>
      </c>
      <c r="AR205" s="4" t="s">
        <v>399</v>
      </c>
      <c r="AS205" s="4" t="s">
        <v>400</v>
      </c>
      <c r="AT205" s="4" t="s">
        <v>49</v>
      </c>
    </row>
    <row r="206" spans="1:46" ht="60" x14ac:dyDescent="0.25">
      <c r="A206" s="4">
        <v>40577676</v>
      </c>
      <c r="B206" s="4" t="str">
        <f>""</f>
        <v/>
      </c>
      <c r="C206" s="4" t="str">
        <f>"700100440001"</f>
        <v>700100440001</v>
      </c>
      <c r="D206" s="4">
        <v>44</v>
      </c>
      <c r="E206" s="4" t="s">
        <v>132</v>
      </c>
      <c r="F206" s="4" t="s">
        <v>412</v>
      </c>
      <c r="G206" s="4" t="str">
        <f>"CNC9341W6T"</f>
        <v>CNC9341W6T</v>
      </c>
      <c r="H206" s="4" t="str">
        <f>"ELITEDISPLAY E243D 23,8"</f>
        <v>ELITEDISPLAY E243D 23,8</v>
      </c>
      <c r="I206" s="4" t="str">
        <f>"HP"</f>
        <v>HP</v>
      </c>
      <c r="J206" s="4"/>
      <c r="K206" s="4"/>
      <c r="L206" s="4">
        <v>297</v>
      </c>
      <c r="M206" s="4"/>
      <c r="N206" s="4" t="s">
        <v>233</v>
      </c>
      <c r="O206" s="4" t="s">
        <v>114</v>
      </c>
      <c r="P206" s="4" t="s">
        <v>428</v>
      </c>
      <c r="Q206" s="4" t="s">
        <v>54</v>
      </c>
      <c r="R206" s="4" t="s">
        <v>55</v>
      </c>
      <c r="S206" s="4" t="s">
        <v>56</v>
      </c>
      <c r="T206" s="4">
        <v>6</v>
      </c>
      <c r="U206" s="4" t="s">
        <v>57</v>
      </c>
      <c r="V206" s="4">
        <v>97459</v>
      </c>
      <c r="W206" s="4" t="s">
        <v>58</v>
      </c>
      <c r="X206" s="4">
        <v>1717662512</v>
      </c>
      <c r="Y206" s="4" t="s">
        <v>71</v>
      </c>
      <c r="Z206" s="4" t="s">
        <v>55</v>
      </c>
      <c r="AA206" s="4" t="s">
        <v>116</v>
      </c>
      <c r="AB206" s="4" t="s">
        <v>61</v>
      </c>
      <c r="AC206" s="4" t="s">
        <v>73</v>
      </c>
      <c r="AD206" s="4" t="s">
        <v>62</v>
      </c>
      <c r="AE206" s="4" t="s">
        <v>55</v>
      </c>
      <c r="AF206" s="4" t="s">
        <v>55</v>
      </c>
      <c r="AG206" s="4" t="s">
        <v>495</v>
      </c>
      <c r="AH206" s="4">
        <v>0</v>
      </c>
      <c r="AI206" s="4" t="s">
        <v>312</v>
      </c>
      <c r="AJ206" s="4" t="s">
        <v>55</v>
      </c>
      <c r="AK206" s="5">
        <v>45968</v>
      </c>
      <c r="AL206" s="6">
        <v>45968</v>
      </c>
      <c r="AM206" s="6">
        <v>46081</v>
      </c>
      <c r="AN206" s="4">
        <v>1</v>
      </c>
      <c r="AO206" s="6">
        <v>46332</v>
      </c>
      <c r="AP206" s="4">
        <v>297</v>
      </c>
      <c r="AQ206" s="4" t="s">
        <v>447</v>
      </c>
      <c r="AR206" s="4" t="s">
        <v>463</v>
      </c>
      <c r="AS206" s="4" t="s">
        <v>464</v>
      </c>
      <c r="AT206" s="4" t="s">
        <v>49</v>
      </c>
    </row>
    <row r="207" spans="1:46" ht="60" x14ac:dyDescent="0.25">
      <c r="A207" s="4">
        <v>40581966</v>
      </c>
      <c r="B207" s="4" t="str">
        <f>""</f>
        <v/>
      </c>
      <c r="C207" s="4" t="str">
        <f>"700100440001"</f>
        <v>700100440001</v>
      </c>
      <c r="D207" s="4">
        <v>53</v>
      </c>
      <c r="E207" s="4" t="s">
        <v>132</v>
      </c>
      <c r="F207" s="4" t="s">
        <v>412</v>
      </c>
      <c r="G207" s="4" t="str">
        <f>"CNC9341VDR"</f>
        <v>CNC9341VDR</v>
      </c>
      <c r="H207" s="4" t="str">
        <f>"ELITEDISPLAY E243d 23,8"</f>
        <v>ELITEDISPLAY E243d 23,8</v>
      </c>
      <c r="I207" s="4" t="str">
        <f>"HP"</f>
        <v>HP</v>
      </c>
      <c r="J207" s="4"/>
      <c r="K207" s="4"/>
      <c r="L207" s="4">
        <v>297</v>
      </c>
      <c r="M207" s="4"/>
      <c r="N207" s="4" t="s">
        <v>233</v>
      </c>
      <c r="O207" s="4" t="s">
        <v>255</v>
      </c>
      <c r="P207" s="4" t="s">
        <v>413</v>
      </c>
      <c r="Q207" s="4" t="s">
        <v>54</v>
      </c>
      <c r="R207" s="4" t="s">
        <v>55</v>
      </c>
      <c r="S207" s="4" t="s">
        <v>56</v>
      </c>
      <c r="T207" s="4">
        <v>6</v>
      </c>
      <c r="U207" s="4" t="s">
        <v>57</v>
      </c>
      <c r="V207" s="4">
        <v>97459</v>
      </c>
      <c r="W207" s="4" t="s">
        <v>58</v>
      </c>
      <c r="X207" s="4">
        <v>1717662512</v>
      </c>
      <c r="Y207" s="4" t="s">
        <v>71</v>
      </c>
      <c r="Z207" s="4" t="s">
        <v>55</v>
      </c>
      <c r="AA207" s="4" t="s">
        <v>116</v>
      </c>
      <c r="AB207" s="4" t="s">
        <v>61</v>
      </c>
      <c r="AC207" s="4" t="s">
        <v>73</v>
      </c>
      <c r="AD207" s="4" t="s">
        <v>62</v>
      </c>
      <c r="AE207" s="4" t="s">
        <v>55</v>
      </c>
      <c r="AF207" s="4" t="s">
        <v>55</v>
      </c>
      <c r="AG207" s="4" t="s">
        <v>496</v>
      </c>
      <c r="AH207" s="4">
        <v>0</v>
      </c>
      <c r="AI207" s="4" t="s">
        <v>312</v>
      </c>
      <c r="AJ207" s="4" t="s">
        <v>55</v>
      </c>
      <c r="AK207" s="5">
        <v>45971</v>
      </c>
      <c r="AL207" s="6">
        <v>45971</v>
      </c>
      <c r="AM207" s="6">
        <v>46081</v>
      </c>
      <c r="AN207" s="4">
        <v>3</v>
      </c>
      <c r="AO207" s="6">
        <v>47065</v>
      </c>
      <c r="AP207" s="4">
        <v>297</v>
      </c>
      <c r="AQ207" s="4" t="s">
        <v>447</v>
      </c>
      <c r="AR207" s="4" t="s">
        <v>448</v>
      </c>
      <c r="AS207" s="4" t="s">
        <v>449</v>
      </c>
      <c r="AT207" s="4" t="s">
        <v>49</v>
      </c>
    </row>
    <row r="208" spans="1:46" ht="60" x14ac:dyDescent="0.25">
      <c r="A208" s="4">
        <v>40581964</v>
      </c>
      <c r="B208" s="4" t="str">
        <f>""</f>
        <v/>
      </c>
      <c r="C208" s="4" t="str">
        <f>"700100440001"</f>
        <v>700100440001</v>
      </c>
      <c r="D208" s="4">
        <v>52</v>
      </c>
      <c r="E208" s="4" t="s">
        <v>132</v>
      </c>
      <c r="F208" s="4" t="s">
        <v>412</v>
      </c>
      <c r="G208" s="4" t="str">
        <f>"CNC9341VDC"</f>
        <v>CNC9341VDC</v>
      </c>
      <c r="H208" s="4" t="str">
        <f>"ELITEDISPLAY E243d 23,8"</f>
        <v>ELITEDISPLAY E243d 23,8</v>
      </c>
      <c r="I208" s="4" t="str">
        <f>"HP"</f>
        <v>HP</v>
      </c>
      <c r="J208" s="4"/>
      <c r="K208" s="4"/>
      <c r="L208" s="4">
        <v>297</v>
      </c>
      <c r="M208" s="4"/>
      <c r="N208" s="4" t="s">
        <v>233</v>
      </c>
      <c r="O208" s="4" t="s">
        <v>255</v>
      </c>
      <c r="P208" s="4" t="s">
        <v>413</v>
      </c>
      <c r="Q208" s="4" t="s">
        <v>54</v>
      </c>
      <c r="R208" s="4" t="s">
        <v>55</v>
      </c>
      <c r="S208" s="4" t="s">
        <v>56</v>
      </c>
      <c r="T208" s="4">
        <v>6</v>
      </c>
      <c r="U208" s="4" t="s">
        <v>57</v>
      </c>
      <c r="V208" s="4">
        <v>97459</v>
      </c>
      <c r="W208" s="4" t="s">
        <v>58</v>
      </c>
      <c r="X208" s="4">
        <v>1717662512</v>
      </c>
      <c r="Y208" s="4" t="s">
        <v>71</v>
      </c>
      <c r="Z208" s="4" t="s">
        <v>55</v>
      </c>
      <c r="AA208" s="4" t="s">
        <v>116</v>
      </c>
      <c r="AB208" s="4" t="s">
        <v>61</v>
      </c>
      <c r="AC208" s="4" t="s">
        <v>73</v>
      </c>
      <c r="AD208" s="4" t="s">
        <v>62</v>
      </c>
      <c r="AE208" s="4" t="s">
        <v>55</v>
      </c>
      <c r="AF208" s="4" t="s">
        <v>55</v>
      </c>
      <c r="AG208" s="4" t="s">
        <v>497</v>
      </c>
      <c r="AH208" s="4">
        <v>0</v>
      </c>
      <c r="AI208" s="4" t="s">
        <v>312</v>
      </c>
      <c r="AJ208" s="4" t="s">
        <v>55</v>
      </c>
      <c r="AK208" s="5">
        <v>45971</v>
      </c>
      <c r="AL208" s="6">
        <v>45971</v>
      </c>
      <c r="AM208" s="6">
        <v>46081</v>
      </c>
      <c r="AN208" s="4">
        <v>3</v>
      </c>
      <c r="AO208" s="6">
        <v>47065</v>
      </c>
      <c r="AP208" s="4">
        <v>297</v>
      </c>
      <c r="AQ208" s="4" t="s">
        <v>447</v>
      </c>
      <c r="AR208" s="4" t="s">
        <v>448</v>
      </c>
      <c r="AS208" s="4" t="s">
        <v>449</v>
      </c>
      <c r="AT208" s="4" t="s">
        <v>49</v>
      </c>
    </row>
    <row r="209" spans="1:46" ht="60" x14ac:dyDescent="0.25">
      <c r="A209" s="4">
        <v>40582136</v>
      </c>
      <c r="B209" s="4" t="str">
        <f>""</f>
        <v/>
      </c>
      <c r="C209" s="4" t="str">
        <f>"700100440001"</f>
        <v>700100440001</v>
      </c>
      <c r="D209" s="4">
        <v>56</v>
      </c>
      <c r="E209" s="4" t="s">
        <v>132</v>
      </c>
      <c r="F209" s="4" t="s">
        <v>412</v>
      </c>
      <c r="G209" s="4" t="str">
        <f>"CNC9192T80"</f>
        <v>CNC9192T80</v>
      </c>
      <c r="H209" s="4" t="str">
        <f>"ELITEDISPLAY E243d 23,8"</f>
        <v>ELITEDISPLAY E243d 23,8</v>
      </c>
      <c r="I209" s="4" t="str">
        <f>"HP"</f>
        <v>HP</v>
      </c>
      <c r="J209" s="4"/>
      <c r="K209" s="4"/>
      <c r="L209" s="4">
        <v>298</v>
      </c>
      <c r="M209" s="4"/>
      <c r="N209" s="4" t="s">
        <v>233</v>
      </c>
      <c r="O209" s="4" t="s">
        <v>255</v>
      </c>
      <c r="P209" s="4" t="s">
        <v>413</v>
      </c>
      <c r="Q209" s="4" t="s">
        <v>54</v>
      </c>
      <c r="R209" s="4" t="s">
        <v>55</v>
      </c>
      <c r="S209" s="4" t="s">
        <v>56</v>
      </c>
      <c r="T209" s="4">
        <v>6</v>
      </c>
      <c r="U209" s="4" t="s">
        <v>57</v>
      </c>
      <c r="V209" s="4">
        <v>97459</v>
      </c>
      <c r="W209" s="4" t="s">
        <v>58</v>
      </c>
      <c r="X209" s="4">
        <v>1717662512</v>
      </c>
      <c r="Y209" s="4" t="s">
        <v>71</v>
      </c>
      <c r="Z209" s="4" t="s">
        <v>55</v>
      </c>
      <c r="AA209" s="4" t="s">
        <v>116</v>
      </c>
      <c r="AB209" s="4" t="s">
        <v>61</v>
      </c>
      <c r="AC209" s="4" t="s">
        <v>73</v>
      </c>
      <c r="AD209" s="4" t="s">
        <v>62</v>
      </c>
      <c r="AE209" s="4" t="s">
        <v>55</v>
      </c>
      <c r="AF209" s="4" t="s">
        <v>55</v>
      </c>
      <c r="AG209" s="4" t="s">
        <v>498</v>
      </c>
      <c r="AH209" s="4">
        <v>0</v>
      </c>
      <c r="AI209" s="4" t="s">
        <v>312</v>
      </c>
      <c r="AJ209" s="4" t="s">
        <v>55</v>
      </c>
      <c r="AK209" s="5">
        <v>45971</v>
      </c>
      <c r="AL209" s="6">
        <v>45971</v>
      </c>
      <c r="AM209" s="6">
        <v>46081</v>
      </c>
      <c r="AN209" s="4">
        <v>3</v>
      </c>
      <c r="AO209" s="6">
        <v>47065</v>
      </c>
      <c r="AP209" s="4">
        <v>298</v>
      </c>
      <c r="AQ209" s="4" t="s">
        <v>415</v>
      </c>
      <c r="AR209" s="4" t="s">
        <v>416</v>
      </c>
      <c r="AS209" s="4" t="s">
        <v>417</v>
      </c>
      <c r="AT209" s="4" t="s">
        <v>49</v>
      </c>
    </row>
    <row r="210" spans="1:46" ht="75" x14ac:dyDescent="0.25">
      <c r="A210" s="4">
        <v>40631039</v>
      </c>
      <c r="B210" s="4" t="str">
        <f>""</f>
        <v/>
      </c>
      <c r="C210" s="4" t="str">
        <f>"700100070001"</f>
        <v>700100070001</v>
      </c>
      <c r="D210" s="4">
        <v>115</v>
      </c>
      <c r="E210" s="4" t="s">
        <v>132</v>
      </c>
      <c r="F210" s="4" t="s">
        <v>316</v>
      </c>
      <c r="G210" s="4" t="str">
        <f>"B5D4CS3"</f>
        <v>B5D4CS3</v>
      </c>
      <c r="H210" s="4" t="str">
        <f>"LATITUDE 3520"</f>
        <v>LATITUDE 3520</v>
      </c>
      <c r="I210" s="4" t="str">
        <f>"DELL"</f>
        <v>DELL</v>
      </c>
      <c r="J210" s="4"/>
      <c r="K210" s="4"/>
      <c r="L210" s="4">
        <v>1135</v>
      </c>
      <c r="M210" s="4"/>
      <c r="N210" s="4" t="s">
        <v>113</v>
      </c>
      <c r="O210" s="4" t="s">
        <v>114</v>
      </c>
      <c r="P210" s="4" t="s">
        <v>423</v>
      </c>
      <c r="Q210" s="4" t="s">
        <v>54</v>
      </c>
      <c r="R210" s="4" t="s">
        <v>55</v>
      </c>
      <c r="S210" s="4" t="s">
        <v>56</v>
      </c>
      <c r="T210" s="4">
        <v>6</v>
      </c>
      <c r="U210" s="4" t="s">
        <v>57</v>
      </c>
      <c r="V210" s="4">
        <v>97459</v>
      </c>
      <c r="W210" s="4" t="s">
        <v>58</v>
      </c>
      <c r="X210" s="4">
        <v>1717662512</v>
      </c>
      <c r="Y210" s="4" t="s">
        <v>71</v>
      </c>
      <c r="Z210" s="4" t="s">
        <v>55</v>
      </c>
      <c r="AA210" s="4" t="s">
        <v>116</v>
      </c>
      <c r="AB210" s="4" t="s">
        <v>61</v>
      </c>
      <c r="AC210" s="4" t="s">
        <v>73</v>
      </c>
      <c r="AD210" s="4" t="s">
        <v>62</v>
      </c>
      <c r="AE210" s="4" t="s">
        <v>55</v>
      </c>
      <c r="AF210" s="4" t="s">
        <v>55</v>
      </c>
      <c r="AG210" s="4" t="s">
        <v>499</v>
      </c>
      <c r="AH210" s="4">
        <v>0</v>
      </c>
      <c r="AI210" s="4" t="s">
        <v>312</v>
      </c>
      <c r="AJ210" s="4" t="s">
        <v>55</v>
      </c>
      <c r="AK210" s="5">
        <v>45985</v>
      </c>
      <c r="AL210" s="6">
        <v>45985</v>
      </c>
      <c r="AM210" s="6">
        <v>46081</v>
      </c>
      <c r="AN210" s="4">
        <v>3</v>
      </c>
      <c r="AO210" s="6">
        <v>47079</v>
      </c>
      <c r="AP210" s="4">
        <v>1225</v>
      </c>
      <c r="AQ210" s="4" t="s">
        <v>425</v>
      </c>
      <c r="AR210" s="4" t="s">
        <v>426</v>
      </c>
      <c r="AS210" s="4" t="s">
        <v>427</v>
      </c>
      <c r="AT210" s="4" t="s">
        <v>49</v>
      </c>
    </row>
    <row r="211" spans="1:46" ht="75" x14ac:dyDescent="0.25">
      <c r="A211" s="4">
        <v>40631245</v>
      </c>
      <c r="B211" s="4" t="str">
        <f>""</f>
        <v/>
      </c>
      <c r="C211" s="4" t="str">
        <f>"700100070001"</f>
        <v>700100070001</v>
      </c>
      <c r="D211" s="4">
        <v>120</v>
      </c>
      <c r="E211" s="4" t="s">
        <v>132</v>
      </c>
      <c r="F211" s="4" t="s">
        <v>316</v>
      </c>
      <c r="G211" s="4" t="str">
        <f>"D66ZGS3"</f>
        <v>D66ZGS3</v>
      </c>
      <c r="H211" s="4" t="str">
        <f>"LATITUDE 3520"</f>
        <v>LATITUDE 3520</v>
      </c>
      <c r="I211" s="4" t="str">
        <f>"DELL"</f>
        <v>DELL</v>
      </c>
      <c r="J211" s="4"/>
      <c r="K211" s="4"/>
      <c r="L211" s="4">
        <v>1135</v>
      </c>
      <c r="M211" s="4"/>
      <c r="N211" s="4" t="s">
        <v>113</v>
      </c>
      <c r="O211" s="4" t="s">
        <v>114</v>
      </c>
      <c r="P211" s="4" t="s">
        <v>423</v>
      </c>
      <c r="Q211" s="4" t="s">
        <v>54</v>
      </c>
      <c r="R211" s="4" t="s">
        <v>55</v>
      </c>
      <c r="S211" s="4" t="s">
        <v>56</v>
      </c>
      <c r="T211" s="4">
        <v>6</v>
      </c>
      <c r="U211" s="4" t="s">
        <v>57</v>
      </c>
      <c r="V211" s="4">
        <v>97459</v>
      </c>
      <c r="W211" s="4" t="s">
        <v>58</v>
      </c>
      <c r="X211" s="4">
        <v>1717662512</v>
      </c>
      <c r="Y211" s="4" t="s">
        <v>71</v>
      </c>
      <c r="Z211" s="4" t="s">
        <v>55</v>
      </c>
      <c r="AA211" s="4" t="s">
        <v>116</v>
      </c>
      <c r="AB211" s="4" t="s">
        <v>61</v>
      </c>
      <c r="AC211" s="4" t="s">
        <v>73</v>
      </c>
      <c r="AD211" s="4" t="s">
        <v>62</v>
      </c>
      <c r="AE211" s="4" t="s">
        <v>55</v>
      </c>
      <c r="AF211" s="4" t="s">
        <v>55</v>
      </c>
      <c r="AG211" s="4" t="s">
        <v>500</v>
      </c>
      <c r="AH211" s="4">
        <v>0</v>
      </c>
      <c r="AI211" s="4" t="s">
        <v>312</v>
      </c>
      <c r="AJ211" s="4" t="s">
        <v>55</v>
      </c>
      <c r="AK211" s="5">
        <v>45985</v>
      </c>
      <c r="AL211" s="6">
        <v>45985</v>
      </c>
      <c r="AM211" s="6">
        <v>46081</v>
      </c>
      <c r="AN211" s="4">
        <v>3</v>
      </c>
      <c r="AO211" s="6">
        <v>47079</v>
      </c>
      <c r="AP211" s="4">
        <v>1225</v>
      </c>
      <c r="AQ211" s="4" t="s">
        <v>425</v>
      </c>
      <c r="AR211" s="4" t="s">
        <v>426</v>
      </c>
      <c r="AS211" s="4" t="s">
        <v>427</v>
      </c>
      <c r="AT211" s="4" t="s">
        <v>49</v>
      </c>
    </row>
    <row r="212" spans="1:46" ht="75" x14ac:dyDescent="0.25">
      <c r="A212" s="4">
        <v>40631276</v>
      </c>
      <c r="B212" s="4" t="str">
        <f>""</f>
        <v/>
      </c>
      <c r="C212" s="4" t="str">
        <f>"700100070001"</f>
        <v>700100070001</v>
      </c>
      <c r="D212" s="4">
        <v>122</v>
      </c>
      <c r="E212" s="4" t="s">
        <v>132</v>
      </c>
      <c r="F212" s="4" t="s">
        <v>316</v>
      </c>
      <c r="G212" s="4" t="str">
        <f>"5TD4CS3"</f>
        <v>5TD4CS3</v>
      </c>
      <c r="H212" s="4" t="str">
        <f>"LATITUDE 3520"</f>
        <v>LATITUDE 3520</v>
      </c>
      <c r="I212" s="4" t="str">
        <f>"DELL"</f>
        <v>DELL</v>
      </c>
      <c r="J212" s="4"/>
      <c r="K212" s="4"/>
      <c r="L212" s="4">
        <v>1135</v>
      </c>
      <c r="M212" s="4"/>
      <c r="N212" s="4" t="s">
        <v>113</v>
      </c>
      <c r="O212" s="4" t="s">
        <v>114</v>
      </c>
      <c r="P212" s="4" t="s">
        <v>423</v>
      </c>
      <c r="Q212" s="4" t="s">
        <v>54</v>
      </c>
      <c r="R212" s="4" t="s">
        <v>55</v>
      </c>
      <c r="S212" s="4" t="s">
        <v>56</v>
      </c>
      <c r="T212" s="4">
        <v>6</v>
      </c>
      <c r="U212" s="4" t="s">
        <v>57</v>
      </c>
      <c r="V212" s="4">
        <v>97459</v>
      </c>
      <c r="W212" s="4" t="s">
        <v>58</v>
      </c>
      <c r="X212" s="4">
        <v>1717662512</v>
      </c>
      <c r="Y212" s="4" t="s">
        <v>71</v>
      </c>
      <c r="Z212" s="4" t="s">
        <v>55</v>
      </c>
      <c r="AA212" s="4" t="s">
        <v>116</v>
      </c>
      <c r="AB212" s="4" t="s">
        <v>61</v>
      </c>
      <c r="AC212" s="4" t="s">
        <v>73</v>
      </c>
      <c r="AD212" s="4" t="s">
        <v>62</v>
      </c>
      <c r="AE212" s="4" t="s">
        <v>55</v>
      </c>
      <c r="AF212" s="4" t="s">
        <v>55</v>
      </c>
      <c r="AG212" s="4" t="s">
        <v>501</v>
      </c>
      <c r="AH212" s="4">
        <v>0</v>
      </c>
      <c r="AI212" s="4" t="s">
        <v>312</v>
      </c>
      <c r="AJ212" s="4" t="s">
        <v>55</v>
      </c>
      <c r="AK212" s="5">
        <v>45985</v>
      </c>
      <c r="AL212" s="6">
        <v>45985</v>
      </c>
      <c r="AM212" s="6">
        <v>46081</v>
      </c>
      <c r="AN212" s="4">
        <v>3</v>
      </c>
      <c r="AO212" s="6">
        <v>47079</v>
      </c>
      <c r="AP212" s="4">
        <v>1225</v>
      </c>
      <c r="AQ212" s="4" t="s">
        <v>425</v>
      </c>
      <c r="AR212" s="4" t="s">
        <v>426</v>
      </c>
      <c r="AS212" s="4" t="s">
        <v>427</v>
      </c>
      <c r="AT212" s="4" t="s">
        <v>49</v>
      </c>
    </row>
    <row r="213" spans="1:46" ht="60" x14ac:dyDescent="0.25">
      <c r="A213" s="4">
        <v>40588423</v>
      </c>
      <c r="B213" s="4" t="str">
        <f>""</f>
        <v/>
      </c>
      <c r="C213" s="4" t="str">
        <f>"700100960001"</f>
        <v>700100960001</v>
      </c>
      <c r="D213" s="4">
        <v>79</v>
      </c>
      <c r="E213" s="4" t="s">
        <v>132</v>
      </c>
      <c r="F213" s="4" t="s">
        <v>404</v>
      </c>
      <c r="G213" s="4" t="str">
        <f>"28K11E"</f>
        <v>28K11E</v>
      </c>
      <c r="H213" s="4" t="str">
        <f>"BLACKWIRE 3220-C3220 USB-A"</f>
        <v>BLACKWIRE 3220-C3220 USB-A</v>
      </c>
      <c r="I213" s="4" t="str">
        <f>"PLANTRONICS"</f>
        <v>PLANTRONICS</v>
      </c>
      <c r="J213" s="4"/>
      <c r="K213" s="4"/>
      <c r="L213" s="4" t="s">
        <v>441</v>
      </c>
      <c r="M213" s="4"/>
      <c r="N213" s="4" t="s">
        <v>406</v>
      </c>
      <c r="O213" s="4" t="s">
        <v>255</v>
      </c>
      <c r="P213" s="4" t="s">
        <v>407</v>
      </c>
      <c r="Q213" s="4" t="s">
        <v>54</v>
      </c>
      <c r="R213" s="4" t="s">
        <v>55</v>
      </c>
      <c r="S213" s="4" t="s">
        <v>56</v>
      </c>
      <c r="T213" s="4">
        <v>6</v>
      </c>
      <c r="U213" s="4" t="s">
        <v>57</v>
      </c>
      <c r="V213" s="4">
        <v>97459</v>
      </c>
      <c r="W213" s="4" t="s">
        <v>58</v>
      </c>
      <c r="X213" s="4">
        <v>1717662512</v>
      </c>
      <c r="Y213" s="4" t="s">
        <v>71</v>
      </c>
      <c r="Z213" s="4" t="s">
        <v>55</v>
      </c>
      <c r="AA213" s="4" t="s">
        <v>116</v>
      </c>
      <c r="AB213" s="4" t="s">
        <v>61</v>
      </c>
      <c r="AC213" s="4" t="s">
        <v>73</v>
      </c>
      <c r="AD213" s="4" t="s">
        <v>62</v>
      </c>
      <c r="AE213" s="4" t="s">
        <v>55</v>
      </c>
      <c r="AF213" s="4" t="s">
        <v>55</v>
      </c>
      <c r="AG213" s="4" t="s">
        <v>502</v>
      </c>
      <c r="AH213" s="4">
        <v>0</v>
      </c>
      <c r="AI213" s="4" t="s">
        <v>312</v>
      </c>
      <c r="AJ213" s="4" t="s">
        <v>55</v>
      </c>
      <c r="AK213" s="5">
        <v>45973</v>
      </c>
      <c r="AL213" s="6">
        <v>45973</v>
      </c>
      <c r="AM213" s="6">
        <v>46081</v>
      </c>
      <c r="AN213" s="4">
        <v>3</v>
      </c>
      <c r="AO213" s="6">
        <v>47067</v>
      </c>
      <c r="AP213" s="4" t="s">
        <v>441</v>
      </c>
      <c r="AQ213" s="4" t="s">
        <v>443</v>
      </c>
      <c r="AR213" s="4" t="s">
        <v>444</v>
      </c>
      <c r="AS213" s="4" t="s">
        <v>445</v>
      </c>
      <c r="AT213" s="4" t="s">
        <v>49</v>
      </c>
    </row>
    <row r="214" spans="1:46" ht="60" x14ac:dyDescent="0.25">
      <c r="A214" s="4">
        <v>40586226</v>
      </c>
      <c r="B214" s="4" t="str">
        <f>""</f>
        <v/>
      </c>
      <c r="C214" s="4" t="str">
        <f>"700100960001"</f>
        <v>700100960001</v>
      </c>
      <c r="D214" s="4">
        <v>73</v>
      </c>
      <c r="E214" s="4" t="s">
        <v>132</v>
      </c>
      <c r="F214" s="4" t="s">
        <v>404</v>
      </c>
      <c r="G214" s="4" t="str">
        <f>"2XAL1E"</f>
        <v>2XAL1E</v>
      </c>
      <c r="H214" s="4" t="str">
        <f>"BLACKWIRE 3220-C3220 USB-A"</f>
        <v>BLACKWIRE 3220-C3220 USB-A</v>
      </c>
      <c r="I214" s="4" t="str">
        <f>"PLANTRONICS"</f>
        <v>PLANTRONICS</v>
      </c>
      <c r="J214" s="4"/>
      <c r="K214" s="4"/>
      <c r="L214" s="4" t="s">
        <v>418</v>
      </c>
      <c r="M214" s="4"/>
      <c r="N214" s="4" t="s">
        <v>406</v>
      </c>
      <c r="O214" s="4" t="s">
        <v>255</v>
      </c>
      <c r="P214" s="4" t="s">
        <v>407</v>
      </c>
      <c r="Q214" s="4" t="s">
        <v>54</v>
      </c>
      <c r="R214" s="4" t="s">
        <v>55</v>
      </c>
      <c r="S214" s="4" t="s">
        <v>56</v>
      </c>
      <c r="T214" s="4">
        <v>6</v>
      </c>
      <c r="U214" s="4" t="s">
        <v>57</v>
      </c>
      <c r="V214" s="4">
        <v>97459</v>
      </c>
      <c r="W214" s="4" t="s">
        <v>58</v>
      </c>
      <c r="X214" s="4">
        <v>1717662512</v>
      </c>
      <c r="Y214" s="4" t="s">
        <v>71</v>
      </c>
      <c r="Z214" s="4" t="s">
        <v>55</v>
      </c>
      <c r="AA214" s="4" t="s">
        <v>116</v>
      </c>
      <c r="AB214" s="4" t="s">
        <v>61</v>
      </c>
      <c r="AC214" s="4" t="s">
        <v>73</v>
      </c>
      <c r="AD214" s="4" t="s">
        <v>62</v>
      </c>
      <c r="AE214" s="4" t="s">
        <v>55</v>
      </c>
      <c r="AF214" s="4" t="s">
        <v>55</v>
      </c>
      <c r="AG214" s="4" t="s">
        <v>503</v>
      </c>
      <c r="AH214" s="4">
        <v>0</v>
      </c>
      <c r="AI214" s="4" t="s">
        <v>312</v>
      </c>
      <c r="AJ214" s="4" t="s">
        <v>55</v>
      </c>
      <c r="AK214" s="5">
        <v>45972</v>
      </c>
      <c r="AL214" s="6">
        <v>45972</v>
      </c>
      <c r="AM214" s="6">
        <v>46081</v>
      </c>
      <c r="AN214" s="4">
        <v>3</v>
      </c>
      <c r="AO214" s="6">
        <v>47066</v>
      </c>
      <c r="AP214" s="4" t="s">
        <v>418</v>
      </c>
      <c r="AQ214" s="4" t="s">
        <v>420</v>
      </c>
      <c r="AR214" s="4" t="s">
        <v>472</v>
      </c>
      <c r="AS214" s="4" t="s">
        <v>473</v>
      </c>
      <c r="AT214" s="4" t="s">
        <v>49</v>
      </c>
    </row>
    <row r="215" spans="1:46" ht="60" x14ac:dyDescent="0.25">
      <c r="A215" s="4">
        <v>40577683</v>
      </c>
      <c r="B215" s="4" t="str">
        <f>""</f>
        <v/>
      </c>
      <c r="C215" s="4" t="str">
        <f>"700100440001"</f>
        <v>700100440001</v>
      </c>
      <c r="D215" s="4">
        <v>46</v>
      </c>
      <c r="E215" s="4" t="s">
        <v>132</v>
      </c>
      <c r="F215" s="4" t="s">
        <v>412</v>
      </c>
      <c r="G215" s="4" t="str">
        <f>"CNC9192T95"</f>
        <v>CNC9192T95</v>
      </c>
      <c r="H215" s="4" t="str">
        <f>"ELITEDISPLAY E243D 23,8"</f>
        <v>ELITEDISPLAY E243D 23,8</v>
      </c>
      <c r="I215" s="4" t="str">
        <f>"HP"</f>
        <v>HP</v>
      </c>
      <c r="J215" s="4"/>
      <c r="K215" s="4"/>
      <c r="L215" s="4">
        <v>298</v>
      </c>
      <c r="M215" s="4"/>
      <c r="N215" s="4" t="s">
        <v>233</v>
      </c>
      <c r="O215" s="4" t="s">
        <v>114</v>
      </c>
      <c r="P215" s="4" t="s">
        <v>428</v>
      </c>
      <c r="Q215" s="4" t="s">
        <v>54</v>
      </c>
      <c r="R215" s="4" t="s">
        <v>55</v>
      </c>
      <c r="S215" s="4" t="s">
        <v>56</v>
      </c>
      <c r="T215" s="4">
        <v>6</v>
      </c>
      <c r="U215" s="4" t="s">
        <v>57</v>
      </c>
      <c r="V215" s="4">
        <v>97459</v>
      </c>
      <c r="W215" s="4" t="s">
        <v>58</v>
      </c>
      <c r="X215" s="4">
        <v>1717662512</v>
      </c>
      <c r="Y215" s="4" t="s">
        <v>71</v>
      </c>
      <c r="Z215" s="4" t="s">
        <v>55</v>
      </c>
      <c r="AA215" s="4" t="s">
        <v>116</v>
      </c>
      <c r="AB215" s="4" t="s">
        <v>61</v>
      </c>
      <c r="AC215" s="4" t="s">
        <v>73</v>
      </c>
      <c r="AD215" s="4" t="s">
        <v>62</v>
      </c>
      <c r="AE215" s="4" t="s">
        <v>55</v>
      </c>
      <c r="AF215" s="4" t="s">
        <v>55</v>
      </c>
      <c r="AG215" s="4" t="s">
        <v>504</v>
      </c>
      <c r="AH215" s="4">
        <v>0</v>
      </c>
      <c r="AI215" s="4" t="s">
        <v>312</v>
      </c>
      <c r="AJ215" s="4" t="s">
        <v>55</v>
      </c>
      <c r="AK215" s="5">
        <v>45968</v>
      </c>
      <c r="AL215" s="6">
        <v>45968</v>
      </c>
      <c r="AM215" s="6">
        <v>46081</v>
      </c>
      <c r="AN215" s="4">
        <v>1</v>
      </c>
      <c r="AO215" s="6">
        <v>46332</v>
      </c>
      <c r="AP215" s="4">
        <v>298</v>
      </c>
      <c r="AQ215" s="4" t="s">
        <v>415</v>
      </c>
      <c r="AR215" s="4" t="s">
        <v>490</v>
      </c>
      <c r="AS215" s="4" t="s">
        <v>491</v>
      </c>
      <c r="AT215" s="4" t="s">
        <v>49</v>
      </c>
    </row>
    <row r="216" spans="1:46" ht="60" x14ac:dyDescent="0.25">
      <c r="A216" s="4">
        <v>40569086</v>
      </c>
      <c r="B216" s="4" t="str">
        <f>""</f>
        <v/>
      </c>
      <c r="C216" s="4" t="str">
        <f>"700100070001"</f>
        <v>700100070001</v>
      </c>
      <c r="D216" s="4">
        <v>35</v>
      </c>
      <c r="E216" s="4" t="s">
        <v>132</v>
      </c>
      <c r="F216" s="4" t="s">
        <v>316</v>
      </c>
      <c r="G216" s="4" t="str">
        <f>"SPC1EWQWA"</f>
        <v>SPC1EWQWA</v>
      </c>
      <c r="H216" s="4" t="str">
        <f>"THINKPAD T490"</f>
        <v>THINKPAD T490</v>
      </c>
      <c r="I216" s="4" t="str">
        <f>"LENOVO"</f>
        <v>LENOVO</v>
      </c>
      <c r="J216" s="4"/>
      <c r="K216" s="4"/>
      <c r="L216" s="4">
        <v>1183</v>
      </c>
      <c r="M216" s="4"/>
      <c r="N216" s="4" t="s">
        <v>113</v>
      </c>
      <c r="O216" s="4" t="s">
        <v>255</v>
      </c>
      <c r="P216" s="4" t="s">
        <v>392</v>
      </c>
      <c r="Q216" s="4" t="s">
        <v>54</v>
      </c>
      <c r="R216" s="4" t="s">
        <v>55</v>
      </c>
      <c r="S216" s="4" t="s">
        <v>56</v>
      </c>
      <c r="T216" s="4">
        <v>6</v>
      </c>
      <c r="U216" s="4" t="s">
        <v>57</v>
      </c>
      <c r="V216" s="4">
        <v>97459</v>
      </c>
      <c r="W216" s="4" t="s">
        <v>58</v>
      </c>
      <c r="X216" s="4">
        <v>1717662512</v>
      </c>
      <c r="Y216" s="4" t="s">
        <v>71</v>
      </c>
      <c r="Z216" s="4" t="s">
        <v>55</v>
      </c>
      <c r="AA216" s="4" t="s">
        <v>116</v>
      </c>
      <c r="AB216" s="4" t="s">
        <v>61</v>
      </c>
      <c r="AC216" s="4" t="s">
        <v>73</v>
      </c>
      <c r="AD216" s="4" t="s">
        <v>62</v>
      </c>
      <c r="AE216" s="4" t="s">
        <v>55</v>
      </c>
      <c r="AF216" s="4" t="s">
        <v>55</v>
      </c>
      <c r="AG216" s="4" t="s">
        <v>505</v>
      </c>
      <c r="AH216" s="4">
        <v>0</v>
      </c>
      <c r="AI216" s="4" t="s">
        <v>312</v>
      </c>
      <c r="AJ216" s="4" t="s">
        <v>55</v>
      </c>
      <c r="AK216" s="5">
        <v>45968</v>
      </c>
      <c r="AL216" s="6">
        <v>45968</v>
      </c>
      <c r="AM216" s="6">
        <v>46081</v>
      </c>
      <c r="AN216" s="4">
        <v>3</v>
      </c>
      <c r="AO216" s="6">
        <v>47062</v>
      </c>
      <c r="AP216" s="4">
        <v>1183</v>
      </c>
      <c r="AQ216" s="4" t="s">
        <v>398</v>
      </c>
      <c r="AR216" s="4" t="s">
        <v>402</v>
      </c>
      <c r="AS216" s="4" t="s">
        <v>403</v>
      </c>
      <c r="AT216" s="4" t="s">
        <v>49</v>
      </c>
    </row>
    <row r="217" spans="1:46" ht="60" x14ac:dyDescent="0.25">
      <c r="A217" s="4">
        <v>40581335</v>
      </c>
      <c r="B217" s="4" t="str">
        <f>""</f>
        <v/>
      </c>
      <c r="C217" s="4" t="str">
        <f>"700100440001"</f>
        <v>700100440001</v>
      </c>
      <c r="D217" s="4">
        <v>51</v>
      </c>
      <c r="E217" s="4" t="s">
        <v>132</v>
      </c>
      <c r="F217" s="4" t="s">
        <v>412</v>
      </c>
      <c r="G217" s="4" t="str">
        <f>"CNC9341VDG"</f>
        <v>CNC9341VDG</v>
      </c>
      <c r="H217" s="4" t="str">
        <f>"ELITEDISPLAY E243D 23,8"</f>
        <v>ELITEDISPLAY E243D 23,8</v>
      </c>
      <c r="I217" s="4" t="str">
        <f>"HP"</f>
        <v>HP</v>
      </c>
      <c r="J217" s="4"/>
      <c r="K217" s="4"/>
      <c r="L217" s="4">
        <v>297</v>
      </c>
      <c r="M217" s="4"/>
      <c r="N217" s="4" t="s">
        <v>233</v>
      </c>
      <c r="O217" s="4" t="s">
        <v>255</v>
      </c>
      <c r="P217" s="4" t="s">
        <v>428</v>
      </c>
      <c r="Q217" s="4" t="s">
        <v>54</v>
      </c>
      <c r="R217" s="4" t="s">
        <v>55</v>
      </c>
      <c r="S217" s="4" t="s">
        <v>56</v>
      </c>
      <c r="T217" s="4">
        <v>6</v>
      </c>
      <c r="U217" s="4" t="s">
        <v>57</v>
      </c>
      <c r="V217" s="4">
        <v>97459</v>
      </c>
      <c r="W217" s="4" t="s">
        <v>58</v>
      </c>
      <c r="X217" s="4">
        <v>1717662512</v>
      </c>
      <c r="Y217" s="4" t="s">
        <v>71</v>
      </c>
      <c r="Z217" s="4" t="s">
        <v>55</v>
      </c>
      <c r="AA217" s="4" t="s">
        <v>116</v>
      </c>
      <c r="AB217" s="4" t="s">
        <v>61</v>
      </c>
      <c r="AC217" s="4" t="s">
        <v>73</v>
      </c>
      <c r="AD217" s="4" t="s">
        <v>62</v>
      </c>
      <c r="AE217" s="4" t="s">
        <v>55</v>
      </c>
      <c r="AF217" s="4" t="s">
        <v>55</v>
      </c>
      <c r="AG217" s="4" t="s">
        <v>506</v>
      </c>
      <c r="AH217" s="4">
        <v>0</v>
      </c>
      <c r="AI217" s="4" t="s">
        <v>312</v>
      </c>
      <c r="AJ217" s="4" t="s">
        <v>55</v>
      </c>
      <c r="AK217" s="5">
        <v>45971</v>
      </c>
      <c r="AL217" s="6">
        <v>45971</v>
      </c>
      <c r="AM217" s="6">
        <v>46081</v>
      </c>
      <c r="AN217" s="4">
        <v>3</v>
      </c>
      <c r="AO217" s="6">
        <v>47065</v>
      </c>
      <c r="AP217" s="4">
        <v>297</v>
      </c>
      <c r="AQ217" s="4" t="s">
        <v>447</v>
      </c>
      <c r="AR217" s="4" t="s">
        <v>448</v>
      </c>
      <c r="AS217" s="4" t="s">
        <v>449</v>
      </c>
      <c r="AT217" s="4" t="s">
        <v>49</v>
      </c>
    </row>
    <row r="218" spans="1:46" ht="60" x14ac:dyDescent="0.25">
      <c r="A218" s="4">
        <v>40570776</v>
      </c>
      <c r="B218" s="4" t="str">
        <f>""</f>
        <v/>
      </c>
      <c r="C218" s="4" t="str">
        <f>"700100070001"</f>
        <v>700100070001</v>
      </c>
      <c r="D218" s="4">
        <v>36</v>
      </c>
      <c r="E218" s="4" t="s">
        <v>132</v>
      </c>
      <c r="F218" s="4" t="s">
        <v>316</v>
      </c>
      <c r="G218" s="4" t="str">
        <f>"PC1FST1V"</f>
        <v>PC1FST1V</v>
      </c>
      <c r="H218" s="4" t="str">
        <f>"THINKPAD T490"</f>
        <v>THINKPAD T490</v>
      </c>
      <c r="I218" s="4" t="str">
        <f>"LENOVO"</f>
        <v>LENOVO</v>
      </c>
      <c r="J218" s="4"/>
      <c r="K218" s="4"/>
      <c r="L218" s="4">
        <v>1133</v>
      </c>
      <c r="M218" s="4"/>
      <c r="N218" s="4" t="s">
        <v>113</v>
      </c>
      <c r="O218" s="4" t="s">
        <v>255</v>
      </c>
      <c r="P218" s="4" t="s">
        <v>392</v>
      </c>
      <c r="Q218" s="4" t="s">
        <v>54</v>
      </c>
      <c r="R218" s="4" t="s">
        <v>55</v>
      </c>
      <c r="S218" s="4" t="s">
        <v>56</v>
      </c>
      <c r="T218" s="4">
        <v>6</v>
      </c>
      <c r="U218" s="4" t="s">
        <v>57</v>
      </c>
      <c r="V218" s="4">
        <v>97459</v>
      </c>
      <c r="W218" s="4" t="s">
        <v>58</v>
      </c>
      <c r="X218" s="4">
        <v>1717662512</v>
      </c>
      <c r="Y218" s="4" t="s">
        <v>71</v>
      </c>
      <c r="Z218" s="4" t="s">
        <v>55</v>
      </c>
      <c r="AA218" s="4" t="s">
        <v>116</v>
      </c>
      <c r="AB218" s="4" t="s">
        <v>61</v>
      </c>
      <c r="AC218" s="4" t="s">
        <v>73</v>
      </c>
      <c r="AD218" s="4" t="s">
        <v>62</v>
      </c>
      <c r="AE218" s="4" t="s">
        <v>55</v>
      </c>
      <c r="AF218" s="4" t="s">
        <v>55</v>
      </c>
      <c r="AG218" s="4" t="s">
        <v>507</v>
      </c>
      <c r="AH218" s="4">
        <v>0</v>
      </c>
      <c r="AI218" s="4" t="s">
        <v>312</v>
      </c>
      <c r="AJ218" s="4" t="s">
        <v>55</v>
      </c>
      <c r="AK218" s="5">
        <v>45968</v>
      </c>
      <c r="AL218" s="6">
        <v>45968</v>
      </c>
      <c r="AM218" s="6">
        <v>46081</v>
      </c>
      <c r="AN218" s="4">
        <v>3</v>
      </c>
      <c r="AO218" s="6">
        <v>47062</v>
      </c>
      <c r="AP218" s="4">
        <v>1133</v>
      </c>
      <c r="AQ218" s="4" t="s">
        <v>508</v>
      </c>
      <c r="AR218" s="4" t="s">
        <v>509</v>
      </c>
      <c r="AS218" s="4" t="s">
        <v>510</v>
      </c>
      <c r="AT218" s="4" t="s">
        <v>49</v>
      </c>
    </row>
    <row r="219" spans="1:46" ht="60" x14ac:dyDescent="0.25">
      <c r="A219" s="4">
        <v>40582139</v>
      </c>
      <c r="B219" s="4" t="str">
        <f>""</f>
        <v/>
      </c>
      <c r="C219" s="4" t="str">
        <f>"700100440001"</f>
        <v>700100440001</v>
      </c>
      <c r="D219" s="4">
        <v>57</v>
      </c>
      <c r="E219" s="4" t="s">
        <v>132</v>
      </c>
      <c r="F219" s="4" t="s">
        <v>412</v>
      </c>
      <c r="G219" s="4" t="str">
        <f>"CNC9192TFR"</f>
        <v>CNC9192TFR</v>
      </c>
      <c r="H219" s="4" t="str">
        <f>"ELITEDISPLAY E243d 23,8"</f>
        <v>ELITEDISPLAY E243d 23,8</v>
      </c>
      <c r="I219" s="4" t="str">
        <f>"HP"</f>
        <v>HP</v>
      </c>
      <c r="J219" s="4"/>
      <c r="K219" s="4"/>
      <c r="L219" s="4">
        <v>298</v>
      </c>
      <c r="M219" s="4"/>
      <c r="N219" s="4" t="s">
        <v>233</v>
      </c>
      <c r="O219" s="4" t="s">
        <v>255</v>
      </c>
      <c r="P219" s="4" t="s">
        <v>413</v>
      </c>
      <c r="Q219" s="4" t="s">
        <v>54</v>
      </c>
      <c r="R219" s="4" t="s">
        <v>55</v>
      </c>
      <c r="S219" s="4" t="s">
        <v>56</v>
      </c>
      <c r="T219" s="4">
        <v>6</v>
      </c>
      <c r="U219" s="4" t="s">
        <v>57</v>
      </c>
      <c r="V219" s="4">
        <v>97459</v>
      </c>
      <c r="W219" s="4" t="s">
        <v>58</v>
      </c>
      <c r="X219" s="4">
        <v>1717662512</v>
      </c>
      <c r="Y219" s="4" t="s">
        <v>71</v>
      </c>
      <c r="Z219" s="4" t="s">
        <v>55</v>
      </c>
      <c r="AA219" s="4" t="s">
        <v>116</v>
      </c>
      <c r="AB219" s="4" t="s">
        <v>61</v>
      </c>
      <c r="AC219" s="4" t="s">
        <v>73</v>
      </c>
      <c r="AD219" s="4" t="s">
        <v>62</v>
      </c>
      <c r="AE219" s="4" t="s">
        <v>55</v>
      </c>
      <c r="AF219" s="4" t="s">
        <v>55</v>
      </c>
      <c r="AG219" s="4" t="s">
        <v>511</v>
      </c>
      <c r="AH219" s="4">
        <v>0</v>
      </c>
      <c r="AI219" s="4" t="s">
        <v>312</v>
      </c>
      <c r="AJ219" s="4" t="s">
        <v>55</v>
      </c>
      <c r="AK219" s="5">
        <v>45971</v>
      </c>
      <c r="AL219" s="6">
        <v>45971</v>
      </c>
      <c r="AM219" s="6">
        <v>46081</v>
      </c>
      <c r="AN219" s="4">
        <v>3</v>
      </c>
      <c r="AO219" s="6">
        <v>47065</v>
      </c>
      <c r="AP219" s="4">
        <v>298</v>
      </c>
      <c r="AQ219" s="4" t="s">
        <v>415</v>
      </c>
      <c r="AR219" s="4" t="s">
        <v>416</v>
      </c>
      <c r="AS219" s="4" t="s">
        <v>417</v>
      </c>
      <c r="AT219" s="4" t="s">
        <v>49</v>
      </c>
    </row>
    <row r="220" spans="1:46" ht="75" x14ac:dyDescent="0.25">
      <c r="A220" s="4">
        <v>40808877</v>
      </c>
      <c r="B220" s="4" t="str">
        <f>""</f>
        <v/>
      </c>
      <c r="C220" s="4" t="str">
        <f>"700100290003"</f>
        <v>700100290003</v>
      </c>
      <c r="D220" s="4">
        <v>125</v>
      </c>
      <c r="E220" s="4" t="s">
        <v>132</v>
      </c>
      <c r="F220" s="4" t="s">
        <v>364</v>
      </c>
      <c r="G220" s="4" t="str">
        <f>"CN51LJH13X"</f>
        <v>CN51LJH13X</v>
      </c>
      <c r="H220" s="4" t="str">
        <f>"HP OfficeJet Pro 9730"</f>
        <v>HP OfficeJet Pro 9730</v>
      </c>
      <c r="I220" s="4" t="str">
        <f>"Hewlett-Packard (HP)"</f>
        <v>Hewlett-Packard (HP)</v>
      </c>
      <c r="J220" s="4"/>
      <c r="K220" s="4"/>
      <c r="L220" s="4" t="s">
        <v>512</v>
      </c>
      <c r="M220" s="4"/>
      <c r="N220" s="4" t="s">
        <v>513</v>
      </c>
      <c r="O220" s="4" t="s">
        <v>514</v>
      </c>
      <c r="P220" s="4" t="s">
        <v>515</v>
      </c>
      <c r="Q220" s="4" t="s">
        <v>54</v>
      </c>
      <c r="R220" s="4" t="s">
        <v>55</v>
      </c>
      <c r="S220" s="4" t="s">
        <v>56</v>
      </c>
      <c r="T220" s="4">
        <v>6</v>
      </c>
      <c r="U220" s="4" t="s">
        <v>57</v>
      </c>
      <c r="V220" s="4">
        <v>97459</v>
      </c>
      <c r="W220" s="4" t="s">
        <v>58</v>
      </c>
      <c r="X220" s="4">
        <v>401265012</v>
      </c>
      <c r="Y220" s="4" t="s">
        <v>130</v>
      </c>
      <c r="Z220" s="4" t="s">
        <v>55</v>
      </c>
      <c r="AA220" s="4" t="s">
        <v>60</v>
      </c>
      <c r="AB220" s="4" t="s">
        <v>61</v>
      </c>
      <c r="AC220" s="4">
        <v>429</v>
      </c>
      <c r="AD220" s="4" t="s">
        <v>62</v>
      </c>
      <c r="AE220" s="4" t="s">
        <v>55</v>
      </c>
      <c r="AF220" s="4" t="s">
        <v>55</v>
      </c>
      <c r="AG220" s="4" t="s">
        <v>516</v>
      </c>
      <c r="AH220" s="4">
        <v>840107</v>
      </c>
      <c r="AI220" s="4" t="s">
        <v>312</v>
      </c>
      <c r="AJ220" s="4" t="s">
        <v>55</v>
      </c>
      <c r="AK220" s="5">
        <v>45999</v>
      </c>
      <c r="AL220" s="6">
        <v>46000</v>
      </c>
      <c r="AM220" s="6">
        <v>46081</v>
      </c>
      <c r="AN220" s="4">
        <v>3</v>
      </c>
      <c r="AO220" s="6">
        <v>47094</v>
      </c>
      <c r="AP220" s="4" t="s">
        <v>512</v>
      </c>
      <c r="AQ220" s="4" t="s">
        <v>517</v>
      </c>
      <c r="AR220" s="4" t="s">
        <v>518</v>
      </c>
      <c r="AS220" s="4" t="s">
        <v>519</v>
      </c>
      <c r="AT220" s="4" t="s">
        <v>49</v>
      </c>
    </row>
    <row r="221" spans="1:46" ht="60" x14ac:dyDescent="0.25">
      <c r="A221" s="4">
        <v>40809812</v>
      </c>
      <c r="B221" s="4" t="str">
        <f>""</f>
        <v/>
      </c>
      <c r="C221" s="4" t="str">
        <f>"700100620001"</f>
        <v>700100620001</v>
      </c>
      <c r="D221" s="4">
        <v>126</v>
      </c>
      <c r="E221" s="4" t="s">
        <v>132</v>
      </c>
      <c r="F221" s="4" t="s">
        <v>520</v>
      </c>
      <c r="G221" s="4" t="str">
        <f>"CN584B802N"</f>
        <v>CN584B802N</v>
      </c>
      <c r="H221" s="4" t="str">
        <f>"HP SCANJET PRO 3000 S4 VELOCIDAD SIMPLE 40-49PPM"</f>
        <v>HP SCANJET PRO 3000 S4 VELOCIDAD SIMPLE 40-49PPM</v>
      </c>
      <c r="I221" s="4" t="str">
        <f>"Hewlett-Packard (HP)"</f>
        <v>Hewlett-Packard (HP)</v>
      </c>
      <c r="J221" s="4"/>
      <c r="K221" s="4"/>
      <c r="L221" s="4">
        <v>290</v>
      </c>
      <c r="M221" s="4"/>
      <c r="N221" s="4" t="s">
        <v>51</v>
      </c>
      <c r="O221" s="4" t="s">
        <v>255</v>
      </c>
      <c r="P221" s="4" t="s">
        <v>521</v>
      </c>
      <c r="Q221" s="4" t="s">
        <v>54</v>
      </c>
      <c r="R221" s="4" t="s">
        <v>55</v>
      </c>
      <c r="S221" s="4" t="s">
        <v>56</v>
      </c>
      <c r="T221" s="4">
        <v>6</v>
      </c>
      <c r="U221" s="4" t="s">
        <v>57</v>
      </c>
      <c r="V221" s="4">
        <v>97459</v>
      </c>
      <c r="W221" s="4" t="s">
        <v>58</v>
      </c>
      <c r="X221" s="4">
        <v>401265012</v>
      </c>
      <c r="Y221" s="4" t="s">
        <v>130</v>
      </c>
      <c r="Z221" s="4" t="s">
        <v>55</v>
      </c>
      <c r="AA221" s="4" t="s">
        <v>60</v>
      </c>
      <c r="AB221" s="4" t="s">
        <v>61</v>
      </c>
      <c r="AC221" s="4">
        <v>428</v>
      </c>
      <c r="AD221" s="4" t="s">
        <v>62</v>
      </c>
      <c r="AE221" s="4" t="s">
        <v>55</v>
      </c>
      <c r="AF221" s="4" t="s">
        <v>55</v>
      </c>
      <c r="AG221" s="4" t="s">
        <v>522</v>
      </c>
      <c r="AH221" s="4">
        <v>840107</v>
      </c>
      <c r="AI221" s="4" t="s">
        <v>312</v>
      </c>
      <c r="AJ221" s="4" t="s">
        <v>55</v>
      </c>
      <c r="AK221" s="5">
        <v>45999</v>
      </c>
      <c r="AL221" s="6">
        <v>46001</v>
      </c>
      <c r="AM221" s="6">
        <v>46081</v>
      </c>
      <c r="AN221" s="4">
        <v>3</v>
      </c>
      <c r="AO221" s="6">
        <v>47095</v>
      </c>
      <c r="AP221" s="4">
        <v>290</v>
      </c>
      <c r="AQ221" s="4">
        <v>29</v>
      </c>
      <c r="AR221" s="4" t="s">
        <v>523</v>
      </c>
      <c r="AS221" s="4" t="s">
        <v>524</v>
      </c>
      <c r="AT221" s="4" t="s">
        <v>49</v>
      </c>
    </row>
    <row r="222" spans="1:46" ht="75" x14ac:dyDescent="0.25">
      <c r="A222" s="4">
        <v>40614544</v>
      </c>
      <c r="B222" s="4" t="str">
        <f>""</f>
        <v/>
      </c>
      <c r="C222" s="4" t="str">
        <f t="shared" ref="C222:C239" si="18">"110101020001"</f>
        <v>110101020001</v>
      </c>
      <c r="D222" s="4">
        <v>102</v>
      </c>
      <c r="E222" s="4" t="s">
        <v>132</v>
      </c>
      <c r="F222" s="4" t="s">
        <v>525</v>
      </c>
      <c r="G222" s="4" t="str">
        <f>"2010MR364F58"</f>
        <v>2010MR364F58</v>
      </c>
      <c r="H222" s="4" t="str">
        <f t="shared" ref="H222:H239" si="19">"K235"</f>
        <v>K235</v>
      </c>
      <c r="I222" s="4" t="str">
        <f t="shared" ref="I222:I239" si="20">"LOGITECH"</f>
        <v>LOGITECH</v>
      </c>
      <c r="J222" s="4"/>
      <c r="K222" s="4"/>
      <c r="L222" s="4" t="s">
        <v>526</v>
      </c>
      <c r="M222" s="4"/>
      <c r="N222" s="4" t="s">
        <v>233</v>
      </c>
      <c r="O222" s="4" t="s">
        <v>255</v>
      </c>
      <c r="P222" s="4" t="s">
        <v>527</v>
      </c>
      <c r="Q222" s="4" t="s">
        <v>54</v>
      </c>
      <c r="R222" s="4" t="s">
        <v>55</v>
      </c>
      <c r="S222" s="4" t="s">
        <v>56</v>
      </c>
      <c r="T222" s="4">
        <v>6</v>
      </c>
      <c r="U222" s="4" t="s">
        <v>57</v>
      </c>
      <c r="V222" s="4">
        <v>97459</v>
      </c>
      <c r="W222" s="4" t="s">
        <v>58</v>
      </c>
      <c r="X222" s="4">
        <v>1717662512</v>
      </c>
      <c r="Y222" s="4" t="s">
        <v>71</v>
      </c>
      <c r="Z222" s="4" t="s">
        <v>55</v>
      </c>
      <c r="AA222" s="4" t="s">
        <v>116</v>
      </c>
      <c r="AB222" s="4" t="s">
        <v>61</v>
      </c>
      <c r="AC222" s="4" t="s">
        <v>73</v>
      </c>
      <c r="AD222" s="4" t="s">
        <v>62</v>
      </c>
      <c r="AE222" s="4" t="s">
        <v>55</v>
      </c>
      <c r="AF222" s="4" t="s">
        <v>55</v>
      </c>
      <c r="AG222" s="4" t="s">
        <v>528</v>
      </c>
      <c r="AH222" s="4">
        <v>0</v>
      </c>
      <c r="AI222" s="4" t="s">
        <v>529</v>
      </c>
      <c r="AJ222" s="4" t="s">
        <v>55</v>
      </c>
      <c r="AK222" s="5">
        <v>45980</v>
      </c>
      <c r="AL222" s="6">
        <v>45980</v>
      </c>
      <c r="AM222" s="6">
        <v>46081</v>
      </c>
      <c r="AN222" s="4">
        <v>1</v>
      </c>
      <c r="AO222" s="6">
        <v>46344</v>
      </c>
      <c r="AP222" s="4" t="s">
        <v>526</v>
      </c>
      <c r="AQ222" s="4" t="s">
        <v>530</v>
      </c>
      <c r="AR222" s="4" t="s">
        <v>154</v>
      </c>
      <c r="AS222" s="4" t="s">
        <v>531</v>
      </c>
      <c r="AT222" s="4" t="s">
        <v>49</v>
      </c>
    </row>
    <row r="223" spans="1:46" ht="75" x14ac:dyDescent="0.25">
      <c r="A223" s="4">
        <v>40614812</v>
      </c>
      <c r="B223" s="4" t="str">
        <f>""</f>
        <v/>
      </c>
      <c r="C223" s="4" t="str">
        <f t="shared" si="18"/>
        <v>110101020001</v>
      </c>
      <c r="D223" s="4">
        <v>108</v>
      </c>
      <c r="E223" s="4" t="s">
        <v>132</v>
      </c>
      <c r="F223" s="4" t="s">
        <v>525</v>
      </c>
      <c r="G223" s="4" t="str">
        <f>"2025MR1C9458"</f>
        <v>2025MR1C9458</v>
      </c>
      <c r="H223" s="4" t="str">
        <f t="shared" si="19"/>
        <v>K235</v>
      </c>
      <c r="I223" s="4" t="str">
        <f t="shared" si="20"/>
        <v>LOGITECH</v>
      </c>
      <c r="J223" s="4"/>
      <c r="K223" s="4"/>
      <c r="L223" s="4" t="s">
        <v>526</v>
      </c>
      <c r="M223" s="4"/>
      <c r="N223" s="4" t="s">
        <v>233</v>
      </c>
      <c r="O223" s="4" t="s">
        <v>255</v>
      </c>
      <c r="P223" s="4" t="s">
        <v>527</v>
      </c>
      <c r="Q223" s="4" t="s">
        <v>54</v>
      </c>
      <c r="R223" s="4" t="s">
        <v>55</v>
      </c>
      <c r="S223" s="4" t="s">
        <v>56</v>
      </c>
      <c r="T223" s="4">
        <v>6</v>
      </c>
      <c r="U223" s="4" t="s">
        <v>57</v>
      </c>
      <c r="V223" s="4">
        <v>97459</v>
      </c>
      <c r="W223" s="4" t="s">
        <v>58</v>
      </c>
      <c r="X223" s="4">
        <v>1717662512</v>
      </c>
      <c r="Y223" s="4" t="s">
        <v>71</v>
      </c>
      <c r="Z223" s="4" t="s">
        <v>55</v>
      </c>
      <c r="AA223" s="4" t="s">
        <v>116</v>
      </c>
      <c r="AB223" s="4" t="s">
        <v>61</v>
      </c>
      <c r="AC223" s="4" t="s">
        <v>73</v>
      </c>
      <c r="AD223" s="4" t="s">
        <v>62</v>
      </c>
      <c r="AE223" s="4" t="s">
        <v>55</v>
      </c>
      <c r="AF223" s="4" t="s">
        <v>55</v>
      </c>
      <c r="AG223" s="4" t="s">
        <v>532</v>
      </c>
      <c r="AH223" s="4">
        <v>0</v>
      </c>
      <c r="AI223" s="4" t="s">
        <v>529</v>
      </c>
      <c r="AJ223" s="4" t="s">
        <v>55</v>
      </c>
      <c r="AK223" s="5">
        <v>45980</v>
      </c>
      <c r="AL223" s="6">
        <v>45980</v>
      </c>
      <c r="AM223" s="6">
        <v>46081</v>
      </c>
      <c r="AN223" s="4">
        <v>1</v>
      </c>
      <c r="AO223" s="6">
        <v>46344</v>
      </c>
      <c r="AP223" s="4" t="s">
        <v>526</v>
      </c>
      <c r="AQ223" s="4" t="s">
        <v>530</v>
      </c>
      <c r="AR223" s="4" t="s">
        <v>154</v>
      </c>
      <c r="AS223" s="4" t="s">
        <v>531</v>
      </c>
      <c r="AT223" s="4" t="s">
        <v>49</v>
      </c>
    </row>
    <row r="224" spans="1:46" ht="75" x14ac:dyDescent="0.25">
      <c r="A224" s="4">
        <v>40613868</v>
      </c>
      <c r="B224" s="4" t="str">
        <f>""</f>
        <v/>
      </c>
      <c r="C224" s="4" t="str">
        <f t="shared" si="18"/>
        <v>110101020001</v>
      </c>
      <c r="D224" s="4">
        <v>97</v>
      </c>
      <c r="E224" s="4" t="s">
        <v>132</v>
      </c>
      <c r="F224" s="4" t="s">
        <v>525</v>
      </c>
      <c r="G224" s="4" t="str">
        <f>"2012MR2B1E18"</f>
        <v>2012MR2B1E18</v>
      </c>
      <c r="H224" s="4" t="str">
        <f t="shared" si="19"/>
        <v>K235</v>
      </c>
      <c r="I224" s="4" t="str">
        <f t="shared" si="20"/>
        <v>LOGITECH</v>
      </c>
      <c r="J224" s="4"/>
      <c r="K224" s="4"/>
      <c r="L224" s="4" t="s">
        <v>526</v>
      </c>
      <c r="M224" s="4"/>
      <c r="N224" s="4" t="s">
        <v>233</v>
      </c>
      <c r="O224" s="4" t="s">
        <v>255</v>
      </c>
      <c r="P224" s="4" t="s">
        <v>527</v>
      </c>
      <c r="Q224" s="4" t="s">
        <v>54</v>
      </c>
      <c r="R224" s="4" t="s">
        <v>55</v>
      </c>
      <c r="S224" s="4" t="s">
        <v>56</v>
      </c>
      <c r="T224" s="4">
        <v>6</v>
      </c>
      <c r="U224" s="4" t="s">
        <v>57</v>
      </c>
      <c r="V224" s="4">
        <v>97459</v>
      </c>
      <c r="W224" s="4" t="s">
        <v>58</v>
      </c>
      <c r="X224" s="4">
        <v>1717662512</v>
      </c>
      <c r="Y224" s="4" t="s">
        <v>71</v>
      </c>
      <c r="Z224" s="4" t="s">
        <v>55</v>
      </c>
      <c r="AA224" s="4" t="s">
        <v>116</v>
      </c>
      <c r="AB224" s="4" t="s">
        <v>61</v>
      </c>
      <c r="AC224" s="4" t="s">
        <v>73</v>
      </c>
      <c r="AD224" s="4" t="s">
        <v>62</v>
      </c>
      <c r="AE224" s="4" t="s">
        <v>55</v>
      </c>
      <c r="AF224" s="4" t="s">
        <v>55</v>
      </c>
      <c r="AG224" s="4" t="s">
        <v>533</v>
      </c>
      <c r="AH224" s="4">
        <v>0</v>
      </c>
      <c r="AI224" s="4" t="s">
        <v>529</v>
      </c>
      <c r="AJ224" s="4" t="s">
        <v>55</v>
      </c>
      <c r="AK224" s="5">
        <v>45980</v>
      </c>
      <c r="AL224" s="6">
        <v>45980</v>
      </c>
      <c r="AM224" s="6">
        <v>46081</v>
      </c>
      <c r="AN224" s="4">
        <v>1</v>
      </c>
      <c r="AO224" s="6">
        <v>46344</v>
      </c>
      <c r="AP224" s="4" t="s">
        <v>526</v>
      </c>
      <c r="AQ224" s="4" t="s">
        <v>530</v>
      </c>
      <c r="AR224" s="4" t="s">
        <v>154</v>
      </c>
      <c r="AS224" s="4" t="s">
        <v>531</v>
      </c>
      <c r="AT224" s="4" t="s">
        <v>49</v>
      </c>
    </row>
    <row r="225" spans="1:46" ht="75" x14ac:dyDescent="0.25">
      <c r="A225" s="4">
        <v>40614438</v>
      </c>
      <c r="B225" s="4" t="str">
        <f>""</f>
        <v/>
      </c>
      <c r="C225" s="4" t="str">
        <f t="shared" si="18"/>
        <v>110101020001</v>
      </c>
      <c r="D225" s="4">
        <v>99</v>
      </c>
      <c r="E225" s="4" t="s">
        <v>132</v>
      </c>
      <c r="F225" s="4" t="s">
        <v>525</v>
      </c>
      <c r="G225" s="4" t="str">
        <f>"2025MR1C95F8"</f>
        <v>2025MR1C95F8</v>
      </c>
      <c r="H225" s="4" t="str">
        <f t="shared" si="19"/>
        <v>K235</v>
      </c>
      <c r="I225" s="4" t="str">
        <f t="shared" si="20"/>
        <v>LOGITECH</v>
      </c>
      <c r="J225" s="4"/>
      <c r="K225" s="4"/>
      <c r="L225" s="4" t="s">
        <v>526</v>
      </c>
      <c r="M225" s="4"/>
      <c r="N225" s="4" t="s">
        <v>233</v>
      </c>
      <c r="O225" s="4" t="s">
        <v>255</v>
      </c>
      <c r="P225" s="4" t="s">
        <v>527</v>
      </c>
      <c r="Q225" s="4" t="s">
        <v>54</v>
      </c>
      <c r="R225" s="4" t="s">
        <v>55</v>
      </c>
      <c r="S225" s="4" t="s">
        <v>56</v>
      </c>
      <c r="T225" s="4">
        <v>6</v>
      </c>
      <c r="U225" s="4" t="s">
        <v>57</v>
      </c>
      <c r="V225" s="4">
        <v>97459</v>
      </c>
      <c r="W225" s="4" t="s">
        <v>58</v>
      </c>
      <c r="X225" s="4">
        <v>1722641816</v>
      </c>
      <c r="Y225" s="4" t="s">
        <v>222</v>
      </c>
      <c r="Z225" s="4" t="s">
        <v>55</v>
      </c>
      <c r="AA225" s="4" t="s">
        <v>116</v>
      </c>
      <c r="AB225" s="4" t="s">
        <v>61</v>
      </c>
      <c r="AC225" s="4" t="s">
        <v>73</v>
      </c>
      <c r="AD225" s="4" t="s">
        <v>62</v>
      </c>
      <c r="AE225" s="4" t="s">
        <v>55</v>
      </c>
      <c r="AF225" s="4" t="s">
        <v>55</v>
      </c>
      <c r="AG225" s="4" t="s">
        <v>534</v>
      </c>
      <c r="AH225" s="4">
        <v>0</v>
      </c>
      <c r="AI225" s="4" t="s">
        <v>529</v>
      </c>
      <c r="AJ225" s="4" t="s">
        <v>55</v>
      </c>
      <c r="AK225" s="5">
        <v>45980</v>
      </c>
      <c r="AL225" s="6">
        <v>45980</v>
      </c>
      <c r="AM225" s="6">
        <v>46081</v>
      </c>
      <c r="AN225" s="4">
        <v>1</v>
      </c>
      <c r="AO225" s="6">
        <v>46344</v>
      </c>
      <c r="AP225" s="4" t="s">
        <v>526</v>
      </c>
      <c r="AQ225" s="4" t="s">
        <v>530</v>
      </c>
      <c r="AR225" s="4" t="s">
        <v>154</v>
      </c>
      <c r="AS225" s="4" t="s">
        <v>531</v>
      </c>
      <c r="AT225" s="4" t="s">
        <v>49</v>
      </c>
    </row>
    <row r="226" spans="1:46" ht="75" x14ac:dyDescent="0.25">
      <c r="A226" s="4">
        <v>40614478</v>
      </c>
      <c r="B226" s="4" t="str">
        <f>""</f>
        <v/>
      </c>
      <c r="C226" s="4" t="str">
        <f t="shared" si="18"/>
        <v>110101020001</v>
      </c>
      <c r="D226" s="4">
        <v>101</v>
      </c>
      <c r="E226" s="4" t="s">
        <v>132</v>
      </c>
      <c r="F226" s="4" t="s">
        <v>525</v>
      </c>
      <c r="G226" s="4" t="str">
        <f>"2025MR1C9438"</f>
        <v>2025MR1C9438</v>
      </c>
      <c r="H226" s="4" t="str">
        <f t="shared" si="19"/>
        <v>K235</v>
      </c>
      <c r="I226" s="4" t="str">
        <f t="shared" si="20"/>
        <v>LOGITECH</v>
      </c>
      <c r="J226" s="4"/>
      <c r="K226" s="4"/>
      <c r="L226" s="4" t="s">
        <v>526</v>
      </c>
      <c r="M226" s="4"/>
      <c r="N226" s="4" t="s">
        <v>233</v>
      </c>
      <c r="O226" s="4" t="s">
        <v>255</v>
      </c>
      <c r="P226" s="4" t="s">
        <v>527</v>
      </c>
      <c r="Q226" s="4" t="s">
        <v>54</v>
      </c>
      <c r="R226" s="4" t="s">
        <v>55</v>
      </c>
      <c r="S226" s="4" t="s">
        <v>56</v>
      </c>
      <c r="T226" s="4">
        <v>6</v>
      </c>
      <c r="U226" s="4" t="s">
        <v>57</v>
      </c>
      <c r="V226" s="4">
        <v>97459</v>
      </c>
      <c r="W226" s="4" t="s">
        <v>58</v>
      </c>
      <c r="X226" s="4">
        <v>1717662512</v>
      </c>
      <c r="Y226" s="4" t="s">
        <v>71</v>
      </c>
      <c r="Z226" s="4" t="s">
        <v>55</v>
      </c>
      <c r="AA226" s="4" t="s">
        <v>116</v>
      </c>
      <c r="AB226" s="4" t="s">
        <v>61</v>
      </c>
      <c r="AC226" s="4" t="s">
        <v>73</v>
      </c>
      <c r="AD226" s="4" t="s">
        <v>62</v>
      </c>
      <c r="AE226" s="4" t="s">
        <v>55</v>
      </c>
      <c r="AF226" s="4" t="s">
        <v>55</v>
      </c>
      <c r="AG226" s="4" t="s">
        <v>535</v>
      </c>
      <c r="AH226" s="4">
        <v>0</v>
      </c>
      <c r="AI226" s="4" t="s">
        <v>529</v>
      </c>
      <c r="AJ226" s="4" t="s">
        <v>55</v>
      </c>
      <c r="AK226" s="5">
        <v>45980</v>
      </c>
      <c r="AL226" s="6">
        <v>45980</v>
      </c>
      <c r="AM226" s="6">
        <v>46081</v>
      </c>
      <c r="AN226" s="4">
        <v>1</v>
      </c>
      <c r="AO226" s="6">
        <v>46344</v>
      </c>
      <c r="AP226" s="4" t="s">
        <v>526</v>
      </c>
      <c r="AQ226" s="4" t="s">
        <v>530</v>
      </c>
      <c r="AR226" s="4" t="s">
        <v>154</v>
      </c>
      <c r="AS226" s="4" t="s">
        <v>531</v>
      </c>
      <c r="AT226" s="4" t="s">
        <v>49</v>
      </c>
    </row>
    <row r="227" spans="1:46" ht="75" x14ac:dyDescent="0.25">
      <c r="A227" s="4">
        <v>40614810</v>
      </c>
      <c r="B227" s="4" t="str">
        <f>""</f>
        <v/>
      </c>
      <c r="C227" s="4" t="str">
        <f t="shared" si="18"/>
        <v>110101020001</v>
      </c>
      <c r="D227" s="4">
        <v>106</v>
      </c>
      <c r="E227" s="4" t="s">
        <v>132</v>
      </c>
      <c r="F227" s="4" t="s">
        <v>525</v>
      </c>
      <c r="G227" s="4" t="str">
        <f>"2012MR2B1D48"</f>
        <v>2012MR2B1D48</v>
      </c>
      <c r="H227" s="4" t="str">
        <f t="shared" si="19"/>
        <v>K235</v>
      </c>
      <c r="I227" s="4" t="str">
        <f t="shared" si="20"/>
        <v>LOGITECH</v>
      </c>
      <c r="J227" s="4"/>
      <c r="K227" s="4"/>
      <c r="L227" s="4" t="s">
        <v>526</v>
      </c>
      <c r="M227" s="4"/>
      <c r="N227" s="4" t="s">
        <v>233</v>
      </c>
      <c r="O227" s="4" t="s">
        <v>255</v>
      </c>
      <c r="P227" s="4" t="s">
        <v>527</v>
      </c>
      <c r="Q227" s="4" t="s">
        <v>54</v>
      </c>
      <c r="R227" s="4" t="s">
        <v>55</v>
      </c>
      <c r="S227" s="4" t="s">
        <v>56</v>
      </c>
      <c r="T227" s="4">
        <v>6</v>
      </c>
      <c r="U227" s="4" t="s">
        <v>57</v>
      </c>
      <c r="V227" s="4">
        <v>97459</v>
      </c>
      <c r="W227" s="4" t="s">
        <v>58</v>
      </c>
      <c r="X227" s="4">
        <v>1717662512</v>
      </c>
      <c r="Y227" s="4" t="s">
        <v>71</v>
      </c>
      <c r="Z227" s="4" t="s">
        <v>55</v>
      </c>
      <c r="AA227" s="4" t="s">
        <v>116</v>
      </c>
      <c r="AB227" s="4" t="s">
        <v>61</v>
      </c>
      <c r="AC227" s="4" t="s">
        <v>73</v>
      </c>
      <c r="AD227" s="4" t="s">
        <v>62</v>
      </c>
      <c r="AE227" s="4" t="s">
        <v>55</v>
      </c>
      <c r="AF227" s="4" t="s">
        <v>55</v>
      </c>
      <c r="AG227" s="4" t="s">
        <v>536</v>
      </c>
      <c r="AH227" s="4">
        <v>0</v>
      </c>
      <c r="AI227" s="4" t="s">
        <v>529</v>
      </c>
      <c r="AJ227" s="4" t="s">
        <v>55</v>
      </c>
      <c r="AK227" s="5">
        <v>45980</v>
      </c>
      <c r="AL227" s="6">
        <v>45980</v>
      </c>
      <c r="AM227" s="6">
        <v>46081</v>
      </c>
      <c r="AN227" s="4">
        <v>1</v>
      </c>
      <c r="AO227" s="6">
        <v>46344</v>
      </c>
      <c r="AP227" s="4" t="s">
        <v>526</v>
      </c>
      <c r="AQ227" s="4" t="s">
        <v>530</v>
      </c>
      <c r="AR227" s="4" t="s">
        <v>154</v>
      </c>
      <c r="AS227" s="4" t="s">
        <v>531</v>
      </c>
      <c r="AT227" s="4" t="s">
        <v>49</v>
      </c>
    </row>
    <row r="228" spans="1:46" ht="75" x14ac:dyDescent="0.25">
      <c r="A228" s="4">
        <v>40617145</v>
      </c>
      <c r="B228" s="4" t="str">
        <f>""</f>
        <v/>
      </c>
      <c r="C228" s="4" t="str">
        <f t="shared" si="18"/>
        <v>110101020001</v>
      </c>
      <c r="D228" s="4">
        <v>113</v>
      </c>
      <c r="E228" s="4" t="s">
        <v>132</v>
      </c>
      <c r="F228" s="4" t="s">
        <v>525</v>
      </c>
      <c r="G228" s="4" t="str">
        <f>"2012MR2B1B88"</f>
        <v>2012MR2B1B88</v>
      </c>
      <c r="H228" s="4" t="str">
        <f t="shared" si="19"/>
        <v>K235</v>
      </c>
      <c r="I228" s="4" t="str">
        <f t="shared" si="20"/>
        <v>LOGITECH</v>
      </c>
      <c r="J228" s="4"/>
      <c r="K228" s="4"/>
      <c r="L228" s="4" t="s">
        <v>526</v>
      </c>
      <c r="M228" s="4"/>
      <c r="N228" s="4" t="s">
        <v>233</v>
      </c>
      <c r="O228" s="4" t="s">
        <v>255</v>
      </c>
      <c r="P228" s="4" t="s">
        <v>527</v>
      </c>
      <c r="Q228" s="4" t="s">
        <v>54</v>
      </c>
      <c r="R228" s="4" t="s">
        <v>55</v>
      </c>
      <c r="S228" s="4" t="s">
        <v>56</v>
      </c>
      <c r="T228" s="4">
        <v>6</v>
      </c>
      <c r="U228" s="4" t="s">
        <v>57</v>
      </c>
      <c r="V228" s="4">
        <v>97459</v>
      </c>
      <c r="W228" s="4" t="s">
        <v>58</v>
      </c>
      <c r="X228" s="4">
        <v>1717662512</v>
      </c>
      <c r="Y228" s="4" t="s">
        <v>71</v>
      </c>
      <c r="Z228" s="4" t="s">
        <v>55</v>
      </c>
      <c r="AA228" s="4" t="s">
        <v>116</v>
      </c>
      <c r="AB228" s="4" t="s">
        <v>61</v>
      </c>
      <c r="AC228" s="4" t="s">
        <v>73</v>
      </c>
      <c r="AD228" s="4" t="s">
        <v>62</v>
      </c>
      <c r="AE228" s="4" t="s">
        <v>55</v>
      </c>
      <c r="AF228" s="4" t="s">
        <v>55</v>
      </c>
      <c r="AG228" s="4" t="s">
        <v>537</v>
      </c>
      <c r="AH228" s="4">
        <v>0</v>
      </c>
      <c r="AI228" s="4" t="s">
        <v>529</v>
      </c>
      <c r="AJ228" s="4" t="s">
        <v>55</v>
      </c>
      <c r="AK228" s="5">
        <v>45981</v>
      </c>
      <c r="AL228" s="6">
        <v>45981</v>
      </c>
      <c r="AM228" s="6">
        <v>46081</v>
      </c>
      <c r="AN228" s="4">
        <v>1</v>
      </c>
      <c r="AO228" s="6">
        <v>46345</v>
      </c>
      <c r="AP228" s="4" t="s">
        <v>526</v>
      </c>
      <c r="AQ228" s="4" t="s">
        <v>530</v>
      </c>
      <c r="AR228" s="4" t="s">
        <v>538</v>
      </c>
      <c r="AS228" s="4" t="s">
        <v>539</v>
      </c>
      <c r="AT228" s="4" t="s">
        <v>49</v>
      </c>
    </row>
    <row r="229" spans="1:46" ht="75" x14ac:dyDescent="0.25">
      <c r="A229" s="4">
        <v>40614861</v>
      </c>
      <c r="B229" s="4" t="str">
        <f>""</f>
        <v/>
      </c>
      <c r="C229" s="4" t="str">
        <f t="shared" si="18"/>
        <v>110101020001</v>
      </c>
      <c r="D229" s="4">
        <v>110</v>
      </c>
      <c r="E229" s="4" t="s">
        <v>132</v>
      </c>
      <c r="F229" s="4" t="s">
        <v>525</v>
      </c>
      <c r="G229" s="4" t="str">
        <f>"2025MR1C8C78"</f>
        <v>2025MR1C8C78</v>
      </c>
      <c r="H229" s="4" t="str">
        <f t="shared" si="19"/>
        <v>K235</v>
      </c>
      <c r="I229" s="4" t="str">
        <f t="shared" si="20"/>
        <v>LOGITECH</v>
      </c>
      <c r="J229" s="4"/>
      <c r="K229" s="4"/>
      <c r="L229" s="4" t="s">
        <v>526</v>
      </c>
      <c r="M229" s="4"/>
      <c r="N229" s="4" t="s">
        <v>233</v>
      </c>
      <c r="O229" s="4" t="s">
        <v>255</v>
      </c>
      <c r="P229" s="4" t="s">
        <v>527</v>
      </c>
      <c r="Q229" s="4" t="s">
        <v>54</v>
      </c>
      <c r="R229" s="4" t="s">
        <v>55</v>
      </c>
      <c r="S229" s="4" t="s">
        <v>56</v>
      </c>
      <c r="T229" s="4">
        <v>6</v>
      </c>
      <c r="U229" s="4" t="s">
        <v>57</v>
      </c>
      <c r="V229" s="4">
        <v>97459</v>
      </c>
      <c r="W229" s="4" t="s">
        <v>58</v>
      </c>
      <c r="X229" s="4">
        <v>1717662512</v>
      </c>
      <c r="Y229" s="4" t="s">
        <v>71</v>
      </c>
      <c r="Z229" s="4" t="s">
        <v>55</v>
      </c>
      <c r="AA229" s="4" t="s">
        <v>116</v>
      </c>
      <c r="AB229" s="4" t="s">
        <v>61</v>
      </c>
      <c r="AC229" s="4" t="s">
        <v>73</v>
      </c>
      <c r="AD229" s="4" t="s">
        <v>62</v>
      </c>
      <c r="AE229" s="4" t="s">
        <v>55</v>
      </c>
      <c r="AF229" s="4" t="s">
        <v>55</v>
      </c>
      <c r="AG229" s="4" t="s">
        <v>540</v>
      </c>
      <c r="AH229" s="4">
        <v>0</v>
      </c>
      <c r="AI229" s="4" t="s">
        <v>529</v>
      </c>
      <c r="AJ229" s="4" t="s">
        <v>55</v>
      </c>
      <c r="AK229" s="5">
        <v>45980</v>
      </c>
      <c r="AL229" s="6">
        <v>45980</v>
      </c>
      <c r="AM229" s="6">
        <v>46081</v>
      </c>
      <c r="AN229" s="4">
        <v>1</v>
      </c>
      <c r="AO229" s="6">
        <v>46344</v>
      </c>
      <c r="AP229" s="4" t="s">
        <v>526</v>
      </c>
      <c r="AQ229" s="4" t="s">
        <v>530</v>
      </c>
      <c r="AR229" s="4" t="s">
        <v>154</v>
      </c>
      <c r="AS229" s="4" t="s">
        <v>531</v>
      </c>
      <c r="AT229" s="4" t="s">
        <v>49</v>
      </c>
    </row>
    <row r="230" spans="1:46" ht="75" x14ac:dyDescent="0.25">
      <c r="A230" s="4">
        <v>40614862</v>
      </c>
      <c r="B230" s="4" t="str">
        <f>""</f>
        <v/>
      </c>
      <c r="C230" s="4" t="str">
        <f t="shared" si="18"/>
        <v>110101020001</v>
      </c>
      <c r="D230" s="4">
        <v>111</v>
      </c>
      <c r="E230" s="4" t="s">
        <v>132</v>
      </c>
      <c r="F230" s="4" t="s">
        <v>525</v>
      </c>
      <c r="G230" s="4" t="str">
        <f>"2025MR1C9628"</f>
        <v>2025MR1C9628</v>
      </c>
      <c r="H230" s="4" t="str">
        <f t="shared" si="19"/>
        <v>K235</v>
      </c>
      <c r="I230" s="4" t="str">
        <f t="shared" si="20"/>
        <v>LOGITECH</v>
      </c>
      <c r="J230" s="4"/>
      <c r="K230" s="4"/>
      <c r="L230" s="4" t="s">
        <v>526</v>
      </c>
      <c r="M230" s="4"/>
      <c r="N230" s="4" t="s">
        <v>233</v>
      </c>
      <c r="O230" s="4" t="s">
        <v>255</v>
      </c>
      <c r="P230" s="4" t="s">
        <v>527</v>
      </c>
      <c r="Q230" s="4" t="s">
        <v>54</v>
      </c>
      <c r="R230" s="4" t="s">
        <v>55</v>
      </c>
      <c r="S230" s="4" t="s">
        <v>56</v>
      </c>
      <c r="T230" s="4">
        <v>6</v>
      </c>
      <c r="U230" s="4" t="s">
        <v>57</v>
      </c>
      <c r="V230" s="4">
        <v>97459</v>
      </c>
      <c r="W230" s="4" t="s">
        <v>58</v>
      </c>
      <c r="X230" s="4">
        <v>1717662512</v>
      </c>
      <c r="Y230" s="4" t="s">
        <v>71</v>
      </c>
      <c r="Z230" s="4" t="s">
        <v>55</v>
      </c>
      <c r="AA230" s="4" t="s">
        <v>116</v>
      </c>
      <c r="AB230" s="4" t="s">
        <v>61</v>
      </c>
      <c r="AC230" s="4" t="s">
        <v>73</v>
      </c>
      <c r="AD230" s="4" t="s">
        <v>62</v>
      </c>
      <c r="AE230" s="4" t="s">
        <v>55</v>
      </c>
      <c r="AF230" s="4" t="s">
        <v>55</v>
      </c>
      <c r="AG230" s="4" t="s">
        <v>541</v>
      </c>
      <c r="AH230" s="4">
        <v>0</v>
      </c>
      <c r="AI230" s="4" t="s">
        <v>529</v>
      </c>
      <c r="AJ230" s="4" t="s">
        <v>55</v>
      </c>
      <c r="AK230" s="5">
        <v>45980</v>
      </c>
      <c r="AL230" s="6">
        <v>45980</v>
      </c>
      <c r="AM230" s="6">
        <v>46081</v>
      </c>
      <c r="AN230" s="4">
        <v>1</v>
      </c>
      <c r="AO230" s="6">
        <v>46344</v>
      </c>
      <c r="AP230" s="4" t="s">
        <v>526</v>
      </c>
      <c r="AQ230" s="4" t="s">
        <v>530</v>
      </c>
      <c r="AR230" s="4" t="s">
        <v>154</v>
      </c>
      <c r="AS230" s="4" t="s">
        <v>531</v>
      </c>
      <c r="AT230" s="4" t="s">
        <v>49</v>
      </c>
    </row>
    <row r="231" spans="1:46" ht="75" x14ac:dyDescent="0.25">
      <c r="A231" s="4">
        <v>40614688</v>
      </c>
      <c r="B231" s="4" t="str">
        <f>""</f>
        <v/>
      </c>
      <c r="C231" s="4" t="str">
        <f t="shared" si="18"/>
        <v>110101020001</v>
      </c>
      <c r="D231" s="4">
        <v>105</v>
      </c>
      <c r="E231" s="4" t="s">
        <v>132</v>
      </c>
      <c r="F231" s="4" t="s">
        <v>525</v>
      </c>
      <c r="G231" s="4" t="str">
        <f>"2056MR1C8D38"</f>
        <v>2056MR1C8D38</v>
      </c>
      <c r="H231" s="4" t="str">
        <f t="shared" si="19"/>
        <v>K235</v>
      </c>
      <c r="I231" s="4" t="str">
        <f t="shared" si="20"/>
        <v>LOGITECH</v>
      </c>
      <c r="J231" s="4"/>
      <c r="K231" s="4"/>
      <c r="L231" s="4" t="s">
        <v>526</v>
      </c>
      <c r="M231" s="4"/>
      <c r="N231" s="4" t="s">
        <v>233</v>
      </c>
      <c r="O231" s="4" t="s">
        <v>255</v>
      </c>
      <c r="P231" s="4" t="s">
        <v>527</v>
      </c>
      <c r="Q231" s="4" t="s">
        <v>54</v>
      </c>
      <c r="R231" s="4" t="s">
        <v>55</v>
      </c>
      <c r="S231" s="4" t="s">
        <v>56</v>
      </c>
      <c r="T231" s="4">
        <v>6</v>
      </c>
      <c r="U231" s="4" t="s">
        <v>57</v>
      </c>
      <c r="V231" s="4">
        <v>97459</v>
      </c>
      <c r="W231" s="4" t="s">
        <v>58</v>
      </c>
      <c r="X231" s="4">
        <v>1717662512</v>
      </c>
      <c r="Y231" s="4" t="s">
        <v>71</v>
      </c>
      <c r="Z231" s="4" t="s">
        <v>55</v>
      </c>
      <c r="AA231" s="4" t="s">
        <v>116</v>
      </c>
      <c r="AB231" s="4" t="s">
        <v>61</v>
      </c>
      <c r="AC231" s="4" t="s">
        <v>73</v>
      </c>
      <c r="AD231" s="4" t="s">
        <v>62</v>
      </c>
      <c r="AE231" s="4" t="s">
        <v>55</v>
      </c>
      <c r="AF231" s="4" t="s">
        <v>55</v>
      </c>
      <c r="AG231" s="4" t="s">
        <v>542</v>
      </c>
      <c r="AH231" s="4">
        <v>0</v>
      </c>
      <c r="AI231" s="4" t="s">
        <v>529</v>
      </c>
      <c r="AJ231" s="4" t="s">
        <v>55</v>
      </c>
      <c r="AK231" s="5">
        <v>45980</v>
      </c>
      <c r="AL231" s="6">
        <v>45980</v>
      </c>
      <c r="AM231" s="6">
        <v>46081</v>
      </c>
      <c r="AN231" s="4">
        <v>1</v>
      </c>
      <c r="AO231" s="6">
        <v>46344</v>
      </c>
      <c r="AP231" s="4" t="s">
        <v>526</v>
      </c>
      <c r="AQ231" s="4" t="s">
        <v>530</v>
      </c>
      <c r="AR231" s="4" t="s">
        <v>154</v>
      </c>
      <c r="AS231" s="4" t="s">
        <v>531</v>
      </c>
      <c r="AT231" s="4" t="s">
        <v>49</v>
      </c>
    </row>
    <row r="232" spans="1:46" ht="75" x14ac:dyDescent="0.25">
      <c r="A232" s="4">
        <v>40613914</v>
      </c>
      <c r="B232" s="4" t="str">
        <f>""</f>
        <v/>
      </c>
      <c r="C232" s="4" t="str">
        <f t="shared" si="18"/>
        <v>110101020001</v>
      </c>
      <c r="D232" s="4">
        <v>98</v>
      </c>
      <c r="E232" s="4" t="s">
        <v>132</v>
      </c>
      <c r="F232" s="4" t="s">
        <v>525</v>
      </c>
      <c r="G232" s="4" t="str">
        <f>"2010MR368ED8"</f>
        <v>2010MR368ED8</v>
      </c>
      <c r="H232" s="4" t="str">
        <f t="shared" si="19"/>
        <v>K235</v>
      </c>
      <c r="I232" s="4" t="str">
        <f t="shared" si="20"/>
        <v>LOGITECH</v>
      </c>
      <c r="J232" s="4"/>
      <c r="K232" s="4"/>
      <c r="L232" s="4" t="s">
        <v>526</v>
      </c>
      <c r="M232" s="4"/>
      <c r="N232" s="4" t="s">
        <v>233</v>
      </c>
      <c r="O232" s="4" t="s">
        <v>255</v>
      </c>
      <c r="P232" s="4" t="s">
        <v>527</v>
      </c>
      <c r="Q232" s="4" t="s">
        <v>54</v>
      </c>
      <c r="R232" s="4" t="s">
        <v>55</v>
      </c>
      <c r="S232" s="4" t="s">
        <v>56</v>
      </c>
      <c r="T232" s="4">
        <v>6</v>
      </c>
      <c r="U232" s="4" t="s">
        <v>57</v>
      </c>
      <c r="V232" s="4">
        <v>97459</v>
      </c>
      <c r="W232" s="4" t="s">
        <v>58</v>
      </c>
      <c r="X232" s="4">
        <v>103542908</v>
      </c>
      <c r="Y232" s="4" t="s">
        <v>164</v>
      </c>
      <c r="Z232" s="4" t="s">
        <v>55</v>
      </c>
      <c r="AA232" s="4" t="s">
        <v>116</v>
      </c>
      <c r="AB232" s="4" t="s">
        <v>61</v>
      </c>
      <c r="AC232" s="4" t="s">
        <v>73</v>
      </c>
      <c r="AD232" s="4" t="s">
        <v>62</v>
      </c>
      <c r="AE232" s="4" t="s">
        <v>55</v>
      </c>
      <c r="AF232" s="4" t="s">
        <v>55</v>
      </c>
      <c r="AG232" s="4" t="s">
        <v>543</v>
      </c>
      <c r="AH232" s="4">
        <v>0</v>
      </c>
      <c r="AI232" s="4" t="s">
        <v>529</v>
      </c>
      <c r="AJ232" s="4" t="s">
        <v>55</v>
      </c>
      <c r="AK232" s="5">
        <v>45980</v>
      </c>
      <c r="AL232" s="6">
        <v>45980</v>
      </c>
      <c r="AM232" s="6">
        <v>46081</v>
      </c>
      <c r="AN232" s="4">
        <v>1</v>
      </c>
      <c r="AO232" s="6">
        <v>46344</v>
      </c>
      <c r="AP232" s="4" t="s">
        <v>526</v>
      </c>
      <c r="AQ232" s="4" t="s">
        <v>530</v>
      </c>
      <c r="AR232" s="4" t="s">
        <v>154</v>
      </c>
      <c r="AS232" s="4" t="s">
        <v>531</v>
      </c>
      <c r="AT232" s="4" t="s">
        <v>49</v>
      </c>
    </row>
    <row r="233" spans="1:46" ht="75" x14ac:dyDescent="0.25">
      <c r="A233" s="4">
        <v>40617080</v>
      </c>
      <c r="B233" s="4" t="str">
        <f>""</f>
        <v/>
      </c>
      <c r="C233" s="4" t="str">
        <f t="shared" si="18"/>
        <v>110101020001</v>
      </c>
      <c r="D233" s="4">
        <v>112</v>
      </c>
      <c r="E233" s="4" t="s">
        <v>132</v>
      </c>
      <c r="F233" s="4" t="s">
        <v>525</v>
      </c>
      <c r="G233" s="4" t="str">
        <f>"2010MR368738"</f>
        <v>2010MR368738</v>
      </c>
      <c r="H233" s="4" t="str">
        <f t="shared" si="19"/>
        <v>K235</v>
      </c>
      <c r="I233" s="4" t="str">
        <f t="shared" si="20"/>
        <v>LOGITECH</v>
      </c>
      <c r="J233" s="4"/>
      <c r="K233" s="4"/>
      <c r="L233" s="4" t="s">
        <v>526</v>
      </c>
      <c r="M233" s="4"/>
      <c r="N233" s="4" t="s">
        <v>233</v>
      </c>
      <c r="O233" s="4" t="s">
        <v>255</v>
      </c>
      <c r="P233" s="4" t="s">
        <v>527</v>
      </c>
      <c r="Q233" s="4" t="s">
        <v>54</v>
      </c>
      <c r="R233" s="4" t="s">
        <v>55</v>
      </c>
      <c r="S233" s="4" t="s">
        <v>56</v>
      </c>
      <c r="T233" s="4">
        <v>6</v>
      </c>
      <c r="U233" s="4" t="s">
        <v>57</v>
      </c>
      <c r="V233" s="4">
        <v>97459</v>
      </c>
      <c r="W233" s="4" t="s">
        <v>58</v>
      </c>
      <c r="X233" s="4">
        <v>1717662512</v>
      </c>
      <c r="Y233" s="4" t="s">
        <v>71</v>
      </c>
      <c r="Z233" s="4" t="s">
        <v>55</v>
      </c>
      <c r="AA233" s="4" t="s">
        <v>116</v>
      </c>
      <c r="AB233" s="4" t="s">
        <v>61</v>
      </c>
      <c r="AC233" s="4" t="s">
        <v>73</v>
      </c>
      <c r="AD233" s="4" t="s">
        <v>62</v>
      </c>
      <c r="AE233" s="4" t="s">
        <v>55</v>
      </c>
      <c r="AF233" s="4" t="s">
        <v>55</v>
      </c>
      <c r="AG233" s="4" t="s">
        <v>544</v>
      </c>
      <c r="AH233" s="4">
        <v>0</v>
      </c>
      <c r="AI233" s="4" t="s">
        <v>529</v>
      </c>
      <c r="AJ233" s="4" t="s">
        <v>55</v>
      </c>
      <c r="AK233" s="5">
        <v>45981</v>
      </c>
      <c r="AL233" s="6">
        <v>45981</v>
      </c>
      <c r="AM233" s="6">
        <v>46081</v>
      </c>
      <c r="AN233" s="4">
        <v>1</v>
      </c>
      <c r="AO233" s="6">
        <v>46345</v>
      </c>
      <c r="AP233" s="4" t="s">
        <v>526</v>
      </c>
      <c r="AQ233" s="4" t="s">
        <v>530</v>
      </c>
      <c r="AR233" s="4" t="s">
        <v>538</v>
      </c>
      <c r="AS233" s="4" t="s">
        <v>539</v>
      </c>
      <c r="AT233" s="4" t="s">
        <v>49</v>
      </c>
    </row>
    <row r="234" spans="1:46" ht="75" x14ac:dyDescent="0.25">
      <c r="A234" s="4">
        <v>40617149</v>
      </c>
      <c r="B234" s="4" t="str">
        <f>""</f>
        <v/>
      </c>
      <c r="C234" s="4" t="str">
        <f t="shared" si="18"/>
        <v>110101020001</v>
      </c>
      <c r="D234" s="4">
        <v>114</v>
      </c>
      <c r="E234" s="4" t="s">
        <v>132</v>
      </c>
      <c r="F234" s="4" t="s">
        <v>525</v>
      </c>
      <c r="G234" s="4" t="str">
        <f>"2012MR2B1E08"</f>
        <v>2012MR2B1E08</v>
      </c>
      <c r="H234" s="4" t="str">
        <f t="shared" si="19"/>
        <v>K235</v>
      </c>
      <c r="I234" s="4" t="str">
        <f t="shared" si="20"/>
        <v>LOGITECH</v>
      </c>
      <c r="J234" s="4"/>
      <c r="K234" s="4"/>
      <c r="L234" s="4" t="s">
        <v>526</v>
      </c>
      <c r="M234" s="4"/>
      <c r="N234" s="4" t="s">
        <v>233</v>
      </c>
      <c r="O234" s="4" t="s">
        <v>255</v>
      </c>
      <c r="P234" s="4" t="s">
        <v>527</v>
      </c>
      <c r="Q234" s="4" t="s">
        <v>54</v>
      </c>
      <c r="R234" s="4" t="s">
        <v>55</v>
      </c>
      <c r="S234" s="4" t="s">
        <v>56</v>
      </c>
      <c r="T234" s="4">
        <v>6</v>
      </c>
      <c r="U234" s="4" t="s">
        <v>57</v>
      </c>
      <c r="V234" s="4">
        <v>97459</v>
      </c>
      <c r="W234" s="4" t="s">
        <v>58</v>
      </c>
      <c r="X234" s="4">
        <v>1717662512</v>
      </c>
      <c r="Y234" s="4" t="s">
        <v>71</v>
      </c>
      <c r="Z234" s="4" t="s">
        <v>55</v>
      </c>
      <c r="AA234" s="4" t="s">
        <v>116</v>
      </c>
      <c r="AB234" s="4" t="s">
        <v>61</v>
      </c>
      <c r="AC234" s="4" t="s">
        <v>73</v>
      </c>
      <c r="AD234" s="4" t="s">
        <v>62</v>
      </c>
      <c r="AE234" s="4" t="s">
        <v>55</v>
      </c>
      <c r="AF234" s="4" t="s">
        <v>55</v>
      </c>
      <c r="AG234" s="4" t="s">
        <v>545</v>
      </c>
      <c r="AH234" s="4">
        <v>0</v>
      </c>
      <c r="AI234" s="4" t="s">
        <v>529</v>
      </c>
      <c r="AJ234" s="4" t="s">
        <v>55</v>
      </c>
      <c r="AK234" s="5">
        <v>45981</v>
      </c>
      <c r="AL234" s="6">
        <v>45981</v>
      </c>
      <c r="AM234" s="6">
        <v>46081</v>
      </c>
      <c r="AN234" s="4">
        <v>1</v>
      </c>
      <c r="AO234" s="6">
        <v>46345</v>
      </c>
      <c r="AP234" s="4" t="s">
        <v>526</v>
      </c>
      <c r="AQ234" s="4" t="s">
        <v>530</v>
      </c>
      <c r="AR234" s="4" t="s">
        <v>538</v>
      </c>
      <c r="AS234" s="4" t="s">
        <v>539</v>
      </c>
      <c r="AT234" s="4" t="s">
        <v>49</v>
      </c>
    </row>
    <row r="235" spans="1:46" ht="75" x14ac:dyDescent="0.25">
      <c r="A235" s="4">
        <v>40614687</v>
      </c>
      <c r="B235" s="4" t="str">
        <f>""</f>
        <v/>
      </c>
      <c r="C235" s="4" t="str">
        <f t="shared" si="18"/>
        <v>110101020001</v>
      </c>
      <c r="D235" s="4">
        <v>104</v>
      </c>
      <c r="E235" s="4" t="s">
        <v>132</v>
      </c>
      <c r="F235" s="4" t="s">
        <v>525</v>
      </c>
      <c r="G235" s="4" t="str">
        <f>"2010MR369968"</f>
        <v>2010MR369968</v>
      </c>
      <c r="H235" s="4" t="str">
        <f t="shared" si="19"/>
        <v>K235</v>
      </c>
      <c r="I235" s="4" t="str">
        <f t="shared" si="20"/>
        <v>LOGITECH</v>
      </c>
      <c r="J235" s="4"/>
      <c r="K235" s="4"/>
      <c r="L235" s="4" t="s">
        <v>526</v>
      </c>
      <c r="M235" s="4"/>
      <c r="N235" s="4" t="s">
        <v>233</v>
      </c>
      <c r="O235" s="4" t="s">
        <v>255</v>
      </c>
      <c r="P235" s="4" t="s">
        <v>527</v>
      </c>
      <c r="Q235" s="4" t="s">
        <v>54</v>
      </c>
      <c r="R235" s="4" t="s">
        <v>55</v>
      </c>
      <c r="S235" s="4" t="s">
        <v>56</v>
      </c>
      <c r="T235" s="4">
        <v>6</v>
      </c>
      <c r="U235" s="4" t="s">
        <v>57</v>
      </c>
      <c r="V235" s="4">
        <v>97459</v>
      </c>
      <c r="W235" s="4" t="s">
        <v>58</v>
      </c>
      <c r="X235" s="4">
        <v>1717662512</v>
      </c>
      <c r="Y235" s="4" t="s">
        <v>71</v>
      </c>
      <c r="Z235" s="4" t="s">
        <v>55</v>
      </c>
      <c r="AA235" s="4" t="s">
        <v>116</v>
      </c>
      <c r="AB235" s="4" t="s">
        <v>61</v>
      </c>
      <c r="AC235" s="4" t="s">
        <v>73</v>
      </c>
      <c r="AD235" s="4" t="s">
        <v>62</v>
      </c>
      <c r="AE235" s="4" t="s">
        <v>55</v>
      </c>
      <c r="AF235" s="4" t="s">
        <v>55</v>
      </c>
      <c r="AG235" s="4" t="s">
        <v>546</v>
      </c>
      <c r="AH235" s="4">
        <v>0</v>
      </c>
      <c r="AI235" s="4" t="s">
        <v>529</v>
      </c>
      <c r="AJ235" s="4" t="s">
        <v>55</v>
      </c>
      <c r="AK235" s="5">
        <v>45980</v>
      </c>
      <c r="AL235" s="6">
        <v>45980</v>
      </c>
      <c r="AM235" s="6">
        <v>46081</v>
      </c>
      <c r="AN235" s="4">
        <v>1</v>
      </c>
      <c r="AO235" s="6">
        <v>46344</v>
      </c>
      <c r="AP235" s="4" t="s">
        <v>526</v>
      </c>
      <c r="AQ235" s="4" t="s">
        <v>530</v>
      </c>
      <c r="AR235" s="4" t="s">
        <v>154</v>
      </c>
      <c r="AS235" s="4" t="s">
        <v>531</v>
      </c>
      <c r="AT235" s="4" t="s">
        <v>49</v>
      </c>
    </row>
    <row r="236" spans="1:46" ht="75" x14ac:dyDescent="0.25">
      <c r="A236" s="4">
        <v>40614813</v>
      </c>
      <c r="B236" s="4" t="str">
        <f>""</f>
        <v/>
      </c>
      <c r="C236" s="4" t="str">
        <f t="shared" si="18"/>
        <v>110101020001</v>
      </c>
      <c r="D236" s="4">
        <v>109</v>
      </c>
      <c r="E236" s="4" t="s">
        <v>132</v>
      </c>
      <c r="F236" s="4" t="s">
        <v>525</v>
      </c>
      <c r="G236" s="4" t="str">
        <f>"2012MR2B48F8"</f>
        <v>2012MR2B48F8</v>
      </c>
      <c r="H236" s="4" t="str">
        <f t="shared" si="19"/>
        <v>K235</v>
      </c>
      <c r="I236" s="4" t="str">
        <f t="shared" si="20"/>
        <v>LOGITECH</v>
      </c>
      <c r="J236" s="4"/>
      <c r="K236" s="4"/>
      <c r="L236" s="4" t="s">
        <v>526</v>
      </c>
      <c r="M236" s="4"/>
      <c r="N236" s="4" t="s">
        <v>233</v>
      </c>
      <c r="O236" s="4" t="s">
        <v>255</v>
      </c>
      <c r="P236" s="4" t="s">
        <v>527</v>
      </c>
      <c r="Q236" s="4" t="s">
        <v>54</v>
      </c>
      <c r="R236" s="4" t="s">
        <v>55</v>
      </c>
      <c r="S236" s="4" t="s">
        <v>56</v>
      </c>
      <c r="T236" s="4">
        <v>6</v>
      </c>
      <c r="U236" s="4" t="s">
        <v>57</v>
      </c>
      <c r="V236" s="4">
        <v>97459</v>
      </c>
      <c r="W236" s="4" t="s">
        <v>58</v>
      </c>
      <c r="X236" s="4">
        <v>1717662512</v>
      </c>
      <c r="Y236" s="4" t="s">
        <v>71</v>
      </c>
      <c r="Z236" s="4" t="s">
        <v>55</v>
      </c>
      <c r="AA236" s="4" t="s">
        <v>116</v>
      </c>
      <c r="AB236" s="4" t="s">
        <v>61</v>
      </c>
      <c r="AC236" s="4" t="s">
        <v>73</v>
      </c>
      <c r="AD236" s="4" t="s">
        <v>62</v>
      </c>
      <c r="AE236" s="4" t="s">
        <v>55</v>
      </c>
      <c r="AF236" s="4" t="s">
        <v>55</v>
      </c>
      <c r="AG236" s="4" t="s">
        <v>547</v>
      </c>
      <c r="AH236" s="4">
        <v>0</v>
      </c>
      <c r="AI236" s="4" t="s">
        <v>529</v>
      </c>
      <c r="AJ236" s="4" t="s">
        <v>55</v>
      </c>
      <c r="AK236" s="5">
        <v>45980</v>
      </c>
      <c r="AL236" s="6">
        <v>45980</v>
      </c>
      <c r="AM236" s="6">
        <v>46081</v>
      </c>
      <c r="AN236" s="4">
        <v>1</v>
      </c>
      <c r="AO236" s="6">
        <v>46344</v>
      </c>
      <c r="AP236" s="4" t="s">
        <v>526</v>
      </c>
      <c r="AQ236" s="4" t="s">
        <v>530</v>
      </c>
      <c r="AR236" s="4" t="s">
        <v>154</v>
      </c>
      <c r="AS236" s="4" t="s">
        <v>531</v>
      </c>
      <c r="AT236" s="4" t="s">
        <v>49</v>
      </c>
    </row>
    <row r="237" spans="1:46" ht="75" x14ac:dyDescent="0.25">
      <c r="A237" s="4">
        <v>40614449</v>
      </c>
      <c r="B237" s="4" t="str">
        <f>""</f>
        <v/>
      </c>
      <c r="C237" s="4" t="str">
        <f t="shared" si="18"/>
        <v>110101020001</v>
      </c>
      <c r="D237" s="4">
        <v>100</v>
      </c>
      <c r="E237" s="4" t="s">
        <v>132</v>
      </c>
      <c r="F237" s="4" t="s">
        <v>525</v>
      </c>
      <c r="G237" s="4" t="str">
        <f>"2025MR1C8DB8"</f>
        <v>2025MR1C8DB8</v>
      </c>
      <c r="H237" s="4" t="str">
        <f t="shared" si="19"/>
        <v>K235</v>
      </c>
      <c r="I237" s="4" t="str">
        <f t="shared" si="20"/>
        <v>LOGITECH</v>
      </c>
      <c r="J237" s="4"/>
      <c r="K237" s="4"/>
      <c r="L237" s="4" t="s">
        <v>526</v>
      </c>
      <c r="M237" s="4"/>
      <c r="N237" s="4" t="s">
        <v>233</v>
      </c>
      <c r="O237" s="4" t="s">
        <v>255</v>
      </c>
      <c r="P237" s="4" t="s">
        <v>527</v>
      </c>
      <c r="Q237" s="4" t="s">
        <v>54</v>
      </c>
      <c r="R237" s="4" t="s">
        <v>55</v>
      </c>
      <c r="S237" s="4" t="s">
        <v>56</v>
      </c>
      <c r="T237" s="4">
        <v>6</v>
      </c>
      <c r="U237" s="4" t="s">
        <v>57</v>
      </c>
      <c r="V237" s="4">
        <v>97459</v>
      </c>
      <c r="W237" s="4" t="s">
        <v>58</v>
      </c>
      <c r="X237" s="4">
        <v>1717662512</v>
      </c>
      <c r="Y237" s="4" t="s">
        <v>71</v>
      </c>
      <c r="Z237" s="4" t="s">
        <v>55</v>
      </c>
      <c r="AA237" s="4" t="s">
        <v>116</v>
      </c>
      <c r="AB237" s="4" t="s">
        <v>61</v>
      </c>
      <c r="AC237" s="4" t="s">
        <v>73</v>
      </c>
      <c r="AD237" s="4" t="s">
        <v>62</v>
      </c>
      <c r="AE237" s="4" t="s">
        <v>55</v>
      </c>
      <c r="AF237" s="4" t="s">
        <v>55</v>
      </c>
      <c r="AG237" s="4" t="s">
        <v>548</v>
      </c>
      <c r="AH237" s="4">
        <v>0</v>
      </c>
      <c r="AI237" s="4" t="s">
        <v>529</v>
      </c>
      <c r="AJ237" s="4" t="s">
        <v>55</v>
      </c>
      <c r="AK237" s="5">
        <v>45980</v>
      </c>
      <c r="AL237" s="6">
        <v>45980</v>
      </c>
      <c r="AM237" s="6">
        <v>46081</v>
      </c>
      <c r="AN237" s="4">
        <v>1</v>
      </c>
      <c r="AO237" s="6">
        <v>46344</v>
      </c>
      <c r="AP237" s="4" t="s">
        <v>526</v>
      </c>
      <c r="AQ237" s="4" t="s">
        <v>530</v>
      </c>
      <c r="AR237" s="4" t="s">
        <v>154</v>
      </c>
      <c r="AS237" s="4" t="s">
        <v>531</v>
      </c>
      <c r="AT237" s="4" t="s">
        <v>49</v>
      </c>
    </row>
    <row r="238" spans="1:46" ht="75" x14ac:dyDescent="0.25">
      <c r="A238" s="4">
        <v>40614673</v>
      </c>
      <c r="B238" s="4" t="str">
        <f>""</f>
        <v/>
      </c>
      <c r="C238" s="4" t="str">
        <f t="shared" si="18"/>
        <v>110101020001</v>
      </c>
      <c r="D238" s="4">
        <v>103</v>
      </c>
      <c r="E238" s="4" t="s">
        <v>132</v>
      </c>
      <c r="F238" s="4" t="s">
        <v>525</v>
      </c>
      <c r="G238" s="4" t="str">
        <f>"2025MR1C8DD8"</f>
        <v>2025MR1C8DD8</v>
      </c>
      <c r="H238" s="4" t="str">
        <f t="shared" si="19"/>
        <v>K235</v>
      </c>
      <c r="I238" s="4" t="str">
        <f t="shared" si="20"/>
        <v>LOGITECH</v>
      </c>
      <c r="J238" s="4"/>
      <c r="K238" s="4"/>
      <c r="L238" s="4" t="s">
        <v>526</v>
      </c>
      <c r="M238" s="4"/>
      <c r="N238" s="4" t="s">
        <v>233</v>
      </c>
      <c r="O238" s="4" t="s">
        <v>255</v>
      </c>
      <c r="P238" s="4" t="s">
        <v>527</v>
      </c>
      <c r="Q238" s="4" t="s">
        <v>54</v>
      </c>
      <c r="R238" s="4" t="s">
        <v>55</v>
      </c>
      <c r="S238" s="4" t="s">
        <v>56</v>
      </c>
      <c r="T238" s="4">
        <v>6</v>
      </c>
      <c r="U238" s="4" t="s">
        <v>57</v>
      </c>
      <c r="V238" s="4">
        <v>97459</v>
      </c>
      <c r="W238" s="4" t="s">
        <v>58</v>
      </c>
      <c r="X238" s="4">
        <v>1717662512</v>
      </c>
      <c r="Y238" s="4" t="s">
        <v>71</v>
      </c>
      <c r="Z238" s="4" t="s">
        <v>55</v>
      </c>
      <c r="AA238" s="4" t="s">
        <v>116</v>
      </c>
      <c r="AB238" s="4" t="s">
        <v>61</v>
      </c>
      <c r="AC238" s="4" t="s">
        <v>73</v>
      </c>
      <c r="AD238" s="4" t="s">
        <v>62</v>
      </c>
      <c r="AE238" s="4" t="s">
        <v>55</v>
      </c>
      <c r="AF238" s="4" t="s">
        <v>55</v>
      </c>
      <c r="AG238" s="4" t="s">
        <v>549</v>
      </c>
      <c r="AH238" s="4">
        <v>0</v>
      </c>
      <c r="AI238" s="4" t="s">
        <v>529</v>
      </c>
      <c r="AJ238" s="4" t="s">
        <v>55</v>
      </c>
      <c r="AK238" s="5">
        <v>45980</v>
      </c>
      <c r="AL238" s="6">
        <v>45980</v>
      </c>
      <c r="AM238" s="6">
        <v>46081</v>
      </c>
      <c r="AN238" s="4">
        <v>1</v>
      </c>
      <c r="AO238" s="6">
        <v>46344</v>
      </c>
      <c r="AP238" s="4" t="s">
        <v>526</v>
      </c>
      <c r="AQ238" s="4" t="s">
        <v>530</v>
      </c>
      <c r="AR238" s="4" t="s">
        <v>154</v>
      </c>
      <c r="AS238" s="4" t="s">
        <v>531</v>
      </c>
      <c r="AT238" s="4" t="s">
        <v>49</v>
      </c>
    </row>
    <row r="239" spans="1:46" ht="75" x14ac:dyDescent="0.25">
      <c r="A239" s="4">
        <v>40614811</v>
      </c>
      <c r="B239" s="4" t="str">
        <f>""</f>
        <v/>
      </c>
      <c r="C239" s="4" t="str">
        <f t="shared" si="18"/>
        <v>110101020001</v>
      </c>
      <c r="D239" s="4">
        <v>107</v>
      </c>
      <c r="E239" s="4" t="s">
        <v>132</v>
      </c>
      <c r="F239" s="4" t="s">
        <v>525</v>
      </c>
      <c r="G239" s="4" t="str">
        <f>"2012MR2B1D28"</f>
        <v>2012MR2B1D28</v>
      </c>
      <c r="H239" s="4" t="str">
        <f t="shared" si="19"/>
        <v>K235</v>
      </c>
      <c r="I239" s="4" t="str">
        <f t="shared" si="20"/>
        <v>LOGITECH</v>
      </c>
      <c r="J239" s="4"/>
      <c r="K239" s="4"/>
      <c r="L239" s="4" t="s">
        <v>526</v>
      </c>
      <c r="M239" s="4"/>
      <c r="N239" s="4" t="s">
        <v>233</v>
      </c>
      <c r="O239" s="4" t="s">
        <v>255</v>
      </c>
      <c r="P239" s="4" t="s">
        <v>527</v>
      </c>
      <c r="Q239" s="4" t="s">
        <v>54</v>
      </c>
      <c r="R239" s="4" t="s">
        <v>55</v>
      </c>
      <c r="S239" s="4" t="s">
        <v>56</v>
      </c>
      <c r="T239" s="4">
        <v>6</v>
      </c>
      <c r="U239" s="4" t="s">
        <v>57</v>
      </c>
      <c r="V239" s="4">
        <v>97459</v>
      </c>
      <c r="W239" s="4" t="s">
        <v>58</v>
      </c>
      <c r="X239" s="4">
        <v>1717662512</v>
      </c>
      <c r="Y239" s="4" t="s">
        <v>71</v>
      </c>
      <c r="Z239" s="4" t="s">
        <v>55</v>
      </c>
      <c r="AA239" s="4" t="s">
        <v>116</v>
      </c>
      <c r="AB239" s="4" t="s">
        <v>61</v>
      </c>
      <c r="AC239" s="4" t="s">
        <v>73</v>
      </c>
      <c r="AD239" s="4" t="s">
        <v>62</v>
      </c>
      <c r="AE239" s="4" t="s">
        <v>55</v>
      </c>
      <c r="AF239" s="4" t="s">
        <v>55</v>
      </c>
      <c r="AG239" s="4" t="s">
        <v>550</v>
      </c>
      <c r="AH239" s="4">
        <v>0</v>
      </c>
      <c r="AI239" s="4" t="s">
        <v>529</v>
      </c>
      <c r="AJ239" s="4" t="s">
        <v>55</v>
      </c>
      <c r="AK239" s="5">
        <v>45980</v>
      </c>
      <c r="AL239" s="6">
        <v>45980</v>
      </c>
      <c r="AM239" s="6">
        <v>46081</v>
      </c>
      <c r="AN239" s="4">
        <v>1</v>
      </c>
      <c r="AO239" s="6">
        <v>46344</v>
      </c>
      <c r="AP239" s="4" t="s">
        <v>526</v>
      </c>
      <c r="AQ239" s="4" t="s">
        <v>530</v>
      </c>
      <c r="AR239" s="4" t="s">
        <v>154</v>
      </c>
      <c r="AS239" s="4" t="s">
        <v>531</v>
      </c>
      <c r="AT239" s="4" t="s">
        <v>49</v>
      </c>
    </row>
  </sheetData>
  <mergeCells count="1">
    <mergeCell ref="A1:F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3F352-278C-40C5-A403-05A7193F4460}">
  <dimension ref="A3:D9"/>
  <sheetViews>
    <sheetView workbookViewId="0">
      <selection activeCell="D10" sqref="D10"/>
    </sheetView>
  </sheetViews>
  <sheetFormatPr baseColWidth="10" defaultRowHeight="15" x14ac:dyDescent="0.25"/>
  <cols>
    <col min="1" max="1" width="17.140625" bestFit="1" customWidth="1"/>
    <col min="2" max="2" width="21.5703125" bestFit="1" customWidth="1"/>
  </cols>
  <sheetData>
    <row r="3" spans="1:4" x14ac:dyDescent="0.25">
      <c r="A3" s="11" t="s">
        <v>552</v>
      </c>
      <c r="B3" t="s">
        <v>551</v>
      </c>
    </row>
    <row r="4" spans="1:4" x14ac:dyDescent="0.25">
      <c r="A4" s="12" t="s">
        <v>139</v>
      </c>
      <c r="B4" s="10">
        <v>9850.9199999999946</v>
      </c>
      <c r="C4" s="13">
        <v>9850.92</v>
      </c>
      <c r="D4" s="10">
        <f>C4-GETPIVOTDATA("Valor Contable",$A$3,"Cuenta Contable","141.01.03")</f>
        <v>0</v>
      </c>
    </row>
    <row r="5" spans="1:4" x14ac:dyDescent="0.25">
      <c r="A5" s="12" t="s">
        <v>250</v>
      </c>
      <c r="B5" s="10">
        <v>9416.84</v>
      </c>
      <c r="C5" s="13">
        <v>9416.84</v>
      </c>
      <c r="D5" s="10">
        <v>0</v>
      </c>
    </row>
    <row r="6" spans="1:4" x14ac:dyDescent="0.25">
      <c r="A6" s="12" t="s">
        <v>312</v>
      </c>
      <c r="B6" s="10">
        <v>66279.81</v>
      </c>
      <c r="C6" s="13">
        <v>66279.81</v>
      </c>
      <c r="D6" s="10">
        <v>0</v>
      </c>
    </row>
    <row r="7" spans="1:4" x14ac:dyDescent="0.25">
      <c r="A7" s="12" t="s">
        <v>529</v>
      </c>
      <c r="B7" s="10">
        <v>459</v>
      </c>
      <c r="C7" s="13">
        <v>459</v>
      </c>
      <c r="D7" s="10">
        <v>0</v>
      </c>
    </row>
    <row r="8" spans="1:4" x14ac:dyDescent="0.25">
      <c r="A8" s="12" t="s">
        <v>64</v>
      </c>
      <c r="B8" s="10">
        <v>3694.2099999999996</v>
      </c>
      <c r="C8" s="13">
        <v>4105.09</v>
      </c>
      <c r="D8" s="10">
        <f>C8-GETPIVOTDATA("Valor Contable",$A$3,"Cuenta Contable","911.17.00")</f>
        <v>410.88000000000056</v>
      </c>
    </row>
    <row r="9" spans="1:4" x14ac:dyDescent="0.25">
      <c r="A9" s="12" t="s">
        <v>553</v>
      </c>
      <c r="B9" s="10">
        <v>89700.78</v>
      </c>
      <c r="C9" s="10">
        <f>SUM(C4:C8)</f>
        <v>90111.66</v>
      </c>
      <c r="D9" s="10">
        <f>C9-GETPIVOTDATA("Valor Contable",$A$3)</f>
        <v>410.88000000000466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D25F3-6D36-4B04-998C-EA1B2D804CF3}">
  <sheetPr filterMode="1"/>
  <dimension ref="A1:AT239"/>
  <sheetViews>
    <sheetView showGridLines="0" topLeftCell="AS236" workbookViewId="0">
      <selection sqref="A1:AT239"/>
    </sheetView>
  </sheetViews>
  <sheetFormatPr baseColWidth="10" defaultRowHeight="15" x14ac:dyDescent="0.25"/>
  <cols>
    <col min="1" max="2" width="14.42578125" bestFit="1" customWidth="1"/>
    <col min="3" max="3" width="12" bestFit="1" customWidth="1"/>
    <col min="4" max="4" width="23.42578125" bestFit="1" customWidth="1"/>
    <col min="5" max="5" width="12.5703125" bestFit="1" customWidth="1"/>
    <col min="6" max="6" width="43.5703125" bestFit="1" customWidth="1"/>
    <col min="7" max="7" width="18.5703125" bestFit="1" customWidth="1"/>
    <col min="8" max="8" width="43.5703125" bestFit="1" customWidth="1"/>
    <col min="9" max="9" width="11.85546875" bestFit="1" customWidth="1"/>
    <col min="10" max="10" width="6.85546875" bestFit="1" customWidth="1"/>
    <col min="11" max="11" width="7.7109375" bestFit="1" customWidth="1"/>
    <col min="12" max="12" width="15.140625" bestFit="1" customWidth="1"/>
    <col min="13" max="13" width="9.5703125" bestFit="1" customWidth="1"/>
    <col min="14" max="14" width="38.28515625" bestFit="1" customWidth="1"/>
    <col min="15" max="16" width="43.5703125" bestFit="1" customWidth="1"/>
    <col min="17" max="17" width="17.28515625" bestFit="1" customWidth="1"/>
    <col min="18" max="18" width="9.85546875" bestFit="1" customWidth="1"/>
    <col min="19" max="19" width="11" bestFit="1" customWidth="1"/>
    <col min="20" max="20" width="9.28515625" bestFit="1" customWidth="1"/>
    <col min="21" max="21" width="43.5703125" bestFit="1" customWidth="1"/>
    <col min="22" max="22" width="11.42578125" bestFit="1" customWidth="1"/>
    <col min="23" max="23" width="33.85546875" bestFit="1" customWidth="1"/>
    <col min="24" max="24" width="18.28515625" bestFit="1" customWidth="1"/>
    <col min="25" max="25" width="37.85546875" bestFit="1" customWidth="1"/>
    <col min="26" max="26" width="14.5703125" bestFit="1" customWidth="1"/>
    <col min="27" max="27" width="16.7109375" bestFit="1" customWidth="1"/>
    <col min="28" max="28" width="14" bestFit="1" customWidth="1"/>
    <col min="29" max="29" width="18.42578125" bestFit="1" customWidth="1"/>
    <col min="30" max="30" width="14" bestFit="1" customWidth="1"/>
    <col min="31" max="31" width="20.28515625" bestFit="1" customWidth="1"/>
    <col min="32" max="32" width="20.42578125" bestFit="1" customWidth="1"/>
    <col min="33" max="33" width="43.5703125" bestFit="1" customWidth="1"/>
    <col min="34" max="34" width="13.140625" bestFit="1" customWidth="1"/>
    <col min="35" max="35" width="15.5703125" bestFit="1" customWidth="1"/>
    <col min="36" max="36" width="11.42578125" bestFit="1" customWidth="1"/>
    <col min="37" max="37" width="16.85546875" bestFit="1" customWidth="1"/>
    <col min="38" max="38" width="15.5703125" bestFit="1" customWidth="1"/>
    <col min="39" max="39" width="24.140625" bestFit="1" customWidth="1"/>
    <col min="40" max="40" width="8" bestFit="1" customWidth="1"/>
    <col min="41" max="41" width="25.7109375" bestFit="1" customWidth="1"/>
    <col min="42" max="42" width="13.5703125" bestFit="1" customWidth="1"/>
    <col min="43" max="43" width="13.140625" bestFit="1" customWidth="1"/>
    <col min="44" max="44" width="13.5703125" bestFit="1" customWidth="1"/>
    <col min="45" max="45" width="27.42578125" bestFit="1" customWidth="1"/>
    <col min="46" max="46" width="9.85546875" bestFit="1" customWidth="1"/>
  </cols>
  <sheetData>
    <row r="1" spans="1:46" s="1" customFormat="1" ht="15.6" customHeight="1" x14ac:dyDescent="0.25">
      <c r="A1" s="17" t="s">
        <v>0</v>
      </c>
      <c r="B1" s="18"/>
      <c r="C1" s="18"/>
      <c r="D1" s="18"/>
      <c r="E1" s="18"/>
      <c r="F1" s="19"/>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8"/>
    </row>
    <row r="2" spans="1:46" s="2" customFormat="1" ht="30" x14ac:dyDescent="0.25">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c r="T2" s="3" t="s">
        <v>20</v>
      </c>
      <c r="U2" s="3" t="s">
        <v>21</v>
      </c>
      <c r="V2" s="3" t="s">
        <v>22</v>
      </c>
      <c r="W2" s="3" t="s">
        <v>23</v>
      </c>
      <c r="X2" s="3" t="s">
        <v>24</v>
      </c>
      <c r="Y2" s="3" t="s">
        <v>25</v>
      </c>
      <c r="Z2" s="3" t="s">
        <v>26</v>
      </c>
      <c r="AA2" s="3" t="s">
        <v>27</v>
      </c>
      <c r="AB2" s="3" t="s">
        <v>28</v>
      </c>
      <c r="AC2" s="3" t="s">
        <v>29</v>
      </c>
      <c r="AD2" s="3" t="s">
        <v>30</v>
      </c>
      <c r="AE2" s="3" t="s">
        <v>31</v>
      </c>
      <c r="AF2" s="3" t="s">
        <v>32</v>
      </c>
      <c r="AG2" s="3" t="s">
        <v>33</v>
      </c>
      <c r="AH2" s="3" t="s">
        <v>34</v>
      </c>
      <c r="AI2" s="3" t="s">
        <v>35</v>
      </c>
      <c r="AJ2" s="3" t="s">
        <v>36</v>
      </c>
      <c r="AK2" s="3" t="s">
        <v>37</v>
      </c>
      <c r="AL2" s="3" t="s">
        <v>38</v>
      </c>
      <c r="AM2" s="3" t="s">
        <v>39</v>
      </c>
      <c r="AN2" s="3" t="s">
        <v>40</v>
      </c>
      <c r="AO2" s="3" t="s">
        <v>41</v>
      </c>
      <c r="AP2" s="3" t="s">
        <v>42</v>
      </c>
      <c r="AQ2" s="3" t="s">
        <v>43</v>
      </c>
      <c r="AR2" s="3" t="s">
        <v>44</v>
      </c>
      <c r="AS2" s="3" t="s">
        <v>45</v>
      </c>
      <c r="AT2" s="3" t="s">
        <v>46</v>
      </c>
    </row>
    <row r="3" spans="1:46" ht="195" hidden="1" x14ac:dyDescent="0.25">
      <c r="A3" s="4">
        <v>24309157</v>
      </c>
      <c r="B3" s="4" t="str">
        <f>""</f>
        <v/>
      </c>
      <c r="C3" s="4" t="str">
        <f>"170800470001"</f>
        <v>170800470001</v>
      </c>
      <c r="D3" s="4">
        <v>4</v>
      </c>
      <c r="E3" s="4" t="s">
        <v>47</v>
      </c>
      <c r="F3" s="4" t="s">
        <v>48</v>
      </c>
      <c r="G3" s="4" t="str">
        <f>"24309157"</f>
        <v>24309157</v>
      </c>
      <c r="H3" s="4" t="str">
        <f>"BANDERA INSTITUCIONAL CON ASTA MADERA / TERMINADO FORRADAS CON FLECO AL RUEDO Y CINTAS PARA SUJETA"</f>
        <v>BANDERA INSTITUCIONAL CON ASTA MADERA / TERMINADO FORRADAS CON FLECO AL RUEDO Y CINTAS PARA SUJETA</v>
      </c>
      <c r="I3" s="4" t="str">
        <f>"TERCIOPELO SHIFON CON ESCUDO BORDADO A MANO A UNA SOLA CARA CON HILO DE SEDA Y DORADOS METALIZADOS"</f>
        <v>TERCIOPELO SHIFON CON ESCUDO BORDADO A MANO A UNA SOLA CARA CON HILO DE SEDA Y DORADOS METALIZADOS</v>
      </c>
      <c r="J3" s="4" t="s">
        <v>49</v>
      </c>
      <c r="K3" s="4"/>
      <c r="L3" s="9">
        <v>377.44</v>
      </c>
      <c r="M3" s="4" t="s">
        <v>49</v>
      </c>
      <c r="N3" s="4" t="s">
        <v>51</v>
      </c>
      <c r="O3" s="4" t="s">
        <v>52</v>
      </c>
      <c r="P3" s="4" t="s">
        <v>53</v>
      </c>
      <c r="Q3" s="4" t="s">
        <v>54</v>
      </c>
      <c r="R3" s="4" t="s">
        <v>55</v>
      </c>
      <c r="S3" s="4" t="s">
        <v>56</v>
      </c>
      <c r="T3" s="4">
        <v>6</v>
      </c>
      <c r="U3" s="4" t="s">
        <v>57</v>
      </c>
      <c r="V3" s="4">
        <v>97459</v>
      </c>
      <c r="W3" s="4" t="s">
        <v>58</v>
      </c>
      <c r="X3" s="4">
        <v>102936168</v>
      </c>
      <c r="Y3" s="4" t="s">
        <v>59</v>
      </c>
      <c r="Z3" s="4" t="s">
        <v>55</v>
      </c>
      <c r="AA3" s="4" t="s">
        <v>60</v>
      </c>
      <c r="AB3" s="4" t="s">
        <v>61</v>
      </c>
      <c r="AC3" s="4">
        <v>365</v>
      </c>
      <c r="AD3" s="4" t="s">
        <v>62</v>
      </c>
      <c r="AE3" s="4" t="s">
        <v>55</v>
      </c>
      <c r="AF3" s="4" t="s">
        <v>55</v>
      </c>
      <c r="AG3" s="4" t="s">
        <v>63</v>
      </c>
      <c r="AH3" s="4">
        <v>531408</v>
      </c>
      <c r="AI3" s="4" t="s">
        <v>64</v>
      </c>
      <c r="AJ3" s="4" t="s">
        <v>49</v>
      </c>
      <c r="AK3" s="5">
        <v>43328</v>
      </c>
      <c r="AL3" s="6">
        <v>43334</v>
      </c>
      <c r="AM3" s="6">
        <v>43334</v>
      </c>
      <c r="AN3" s="4">
        <v>0</v>
      </c>
      <c r="AO3" s="4"/>
      <c r="AP3" s="9">
        <v>377.44</v>
      </c>
      <c r="AQ3" s="9">
        <v>0</v>
      </c>
      <c r="AR3" s="9">
        <v>377.44</v>
      </c>
      <c r="AS3" s="9">
        <v>0</v>
      </c>
      <c r="AT3" s="4" t="s">
        <v>49</v>
      </c>
    </row>
    <row r="4" spans="1:46" ht="195" hidden="1" x14ac:dyDescent="0.25">
      <c r="A4" s="4">
        <v>24309158</v>
      </c>
      <c r="B4" s="4" t="str">
        <f>""</f>
        <v/>
      </c>
      <c r="C4" s="4" t="str">
        <f>"170800470001"</f>
        <v>170800470001</v>
      </c>
      <c r="D4" s="4">
        <v>4</v>
      </c>
      <c r="E4" s="4" t="s">
        <v>47</v>
      </c>
      <c r="F4" s="4" t="s">
        <v>48</v>
      </c>
      <c r="G4" s="4" t="str">
        <f>"24309158"</f>
        <v>24309158</v>
      </c>
      <c r="H4" s="4" t="str">
        <f>"BANDERA NACIONAL CON SU ASTA RESPECTIVA / TERMINADO FORRADAS CON FLECO AL RUEDO Y CINTAS PARA SUJETA"</f>
        <v>BANDERA NACIONAL CON SU ASTA RESPECTIVA / TERMINADO FORRADAS CON FLECO AL RUEDO Y CINTAS PARA SUJETA</v>
      </c>
      <c r="I4" s="4" t="str">
        <f>"TERCIOPELO SHIFON CON ESCUDO BORDADO A MANO A UNA SOLA CARA CON HILO DE SEDA Y DORADOS METALIZADOS"</f>
        <v>TERCIOPELO SHIFON CON ESCUDO BORDADO A MANO A UNA SOLA CARA CON HILO DE SEDA Y DORADOS METALIZADOS</v>
      </c>
      <c r="J4" s="4" t="s">
        <v>49</v>
      </c>
      <c r="K4" s="4"/>
      <c r="L4" s="9">
        <v>377.44</v>
      </c>
      <c r="M4" s="4" t="s">
        <v>49</v>
      </c>
      <c r="N4" s="4" t="s">
        <v>65</v>
      </c>
      <c r="O4" s="4" t="s">
        <v>52</v>
      </c>
      <c r="P4" s="4" t="s">
        <v>66</v>
      </c>
      <c r="Q4" s="4" t="s">
        <v>54</v>
      </c>
      <c r="R4" s="4" t="s">
        <v>55</v>
      </c>
      <c r="S4" s="4" t="s">
        <v>56</v>
      </c>
      <c r="T4" s="4">
        <v>6</v>
      </c>
      <c r="U4" s="4" t="s">
        <v>57</v>
      </c>
      <c r="V4" s="4">
        <v>97459</v>
      </c>
      <c r="W4" s="4" t="s">
        <v>58</v>
      </c>
      <c r="X4" s="4">
        <v>102936168</v>
      </c>
      <c r="Y4" s="4" t="s">
        <v>59</v>
      </c>
      <c r="Z4" s="4" t="s">
        <v>55</v>
      </c>
      <c r="AA4" s="4" t="s">
        <v>60</v>
      </c>
      <c r="AB4" s="4" t="s">
        <v>61</v>
      </c>
      <c r="AC4" s="4">
        <v>365</v>
      </c>
      <c r="AD4" s="4" t="s">
        <v>62</v>
      </c>
      <c r="AE4" s="4" t="s">
        <v>55</v>
      </c>
      <c r="AF4" s="4" t="s">
        <v>55</v>
      </c>
      <c r="AG4" s="4" t="s">
        <v>63</v>
      </c>
      <c r="AH4" s="4">
        <v>531408</v>
      </c>
      <c r="AI4" s="4" t="s">
        <v>64</v>
      </c>
      <c r="AJ4" s="4" t="s">
        <v>49</v>
      </c>
      <c r="AK4" s="5">
        <v>43328</v>
      </c>
      <c r="AL4" s="6">
        <v>43334</v>
      </c>
      <c r="AM4" s="6">
        <v>43334</v>
      </c>
      <c r="AN4" s="4">
        <v>0</v>
      </c>
      <c r="AO4" s="4"/>
      <c r="AP4" s="9">
        <v>377.44</v>
      </c>
      <c r="AQ4" s="9">
        <v>0</v>
      </c>
      <c r="AR4" s="9">
        <v>377.44</v>
      </c>
      <c r="AS4" s="9">
        <v>0</v>
      </c>
      <c r="AT4" s="4" t="s">
        <v>49</v>
      </c>
    </row>
    <row r="5" spans="1:46" ht="30" hidden="1" x14ac:dyDescent="0.25">
      <c r="A5" s="4">
        <v>20852983</v>
      </c>
      <c r="B5" s="4" t="str">
        <f>""</f>
        <v/>
      </c>
      <c r="C5" s="4" t="str">
        <f>"170400540001"</f>
        <v>170400540001</v>
      </c>
      <c r="D5" s="4">
        <v>1</v>
      </c>
      <c r="E5" s="4" t="s">
        <v>47</v>
      </c>
      <c r="F5" s="4" t="s">
        <v>67</v>
      </c>
      <c r="G5" s="4" t="str">
        <f>"20852983"</f>
        <v>20852983</v>
      </c>
      <c r="H5" s="4" t="str">
        <f>"ESPIRALADORA METALICA 2109"</f>
        <v>ESPIRALADORA METALICA 2109</v>
      </c>
      <c r="I5" s="4" t="str">
        <f>"IMGRAF"</f>
        <v>IMGRAF</v>
      </c>
      <c r="J5" s="4" t="s">
        <v>49</v>
      </c>
      <c r="K5" s="4"/>
      <c r="L5" s="9">
        <v>120</v>
      </c>
      <c r="M5" s="4" t="s">
        <v>49</v>
      </c>
      <c r="N5" s="4" t="s">
        <v>68</v>
      </c>
      <c r="O5" s="4" t="s">
        <v>69</v>
      </c>
      <c r="P5" s="4" t="s">
        <v>70</v>
      </c>
      <c r="Q5" s="4" t="s">
        <v>54</v>
      </c>
      <c r="R5" s="4" t="s">
        <v>55</v>
      </c>
      <c r="S5" s="4" t="s">
        <v>56</v>
      </c>
      <c r="T5" s="4">
        <v>6</v>
      </c>
      <c r="U5" s="4" t="s">
        <v>57</v>
      </c>
      <c r="V5" s="4">
        <v>97459</v>
      </c>
      <c r="W5" s="4" t="s">
        <v>58</v>
      </c>
      <c r="X5" s="4">
        <v>1717662512</v>
      </c>
      <c r="Y5" s="4" t="s">
        <v>71</v>
      </c>
      <c r="Z5" s="4" t="s">
        <v>55</v>
      </c>
      <c r="AA5" s="4" t="s">
        <v>72</v>
      </c>
      <c r="AB5" s="4" t="s">
        <v>61</v>
      </c>
      <c r="AC5" s="4" t="s">
        <v>73</v>
      </c>
      <c r="AD5" s="4" t="s">
        <v>62</v>
      </c>
      <c r="AE5" s="4" t="s">
        <v>55</v>
      </c>
      <c r="AF5" s="4" t="s">
        <v>55</v>
      </c>
      <c r="AG5" s="4" t="s">
        <v>74</v>
      </c>
      <c r="AH5" s="4">
        <v>0</v>
      </c>
      <c r="AI5" s="4" t="s">
        <v>64</v>
      </c>
      <c r="AJ5" s="4" t="s">
        <v>49</v>
      </c>
      <c r="AK5" s="5">
        <v>43131</v>
      </c>
      <c r="AL5" s="6">
        <v>43082</v>
      </c>
      <c r="AM5" s="4"/>
      <c r="AN5" s="4">
        <v>0</v>
      </c>
      <c r="AO5" s="4"/>
      <c r="AP5" s="9">
        <v>120</v>
      </c>
      <c r="AQ5" s="9">
        <v>0</v>
      </c>
      <c r="AR5" s="9">
        <v>120</v>
      </c>
      <c r="AS5" s="9">
        <v>0</v>
      </c>
      <c r="AT5" s="4" t="s">
        <v>49</v>
      </c>
    </row>
    <row r="6" spans="1:46" ht="30" hidden="1" x14ac:dyDescent="0.25">
      <c r="A6" s="4">
        <v>20852984</v>
      </c>
      <c r="B6" s="4" t="str">
        <f>""</f>
        <v/>
      </c>
      <c r="C6" s="4" t="str">
        <f>"170400640001"</f>
        <v>170400640001</v>
      </c>
      <c r="D6" s="4">
        <v>1</v>
      </c>
      <c r="E6" s="4" t="s">
        <v>47</v>
      </c>
      <c r="F6" s="4" t="s">
        <v>75</v>
      </c>
      <c r="G6" s="4" t="str">
        <f>"20852984"</f>
        <v>20852984</v>
      </c>
      <c r="H6" s="4" t="str">
        <f>"GUILLOTINA TAMAÑO A4"</f>
        <v>GUILLOTINA TAMAÑO A4</v>
      </c>
      <c r="I6" s="4" t="str">
        <f>"PAPER CUTTER"</f>
        <v>PAPER CUTTER</v>
      </c>
      <c r="J6" s="4" t="s">
        <v>49</v>
      </c>
      <c r="K6" s="4"/>
      <c r="L6" s="9">
        <v>29</v>
      </c>
      <c r="M6" s="4" t="s">
        <v>49</v>
      </c>
      <c r="N6" s="4" t="s">
        <v>76</v>
      </c>
      <c r="O6" s="4" t="s">
        <v>77</v>
      </c>
      <c r="P6" s="4" t="s">
        <v>78</v>
      </c>
      <c r="Q6" s="4" t="s">
        <v>54</v>
      </c>
      <c r="R6" s="4" t="s">
        <v>55</v>
      </c>
      <c r="S6" s="4" t="s">
        <v>56</v>
      </c>
      <c r="T6" s="4">
        <v>6</v>
      </c>
      <c r="U6" s="4" t="s">
        <v>57</v>
      </c>
      <c r="V6" s="4">
        <v>97459</v>
      </c>
      <c r="W6" s="4" t="s">
        <v>58</v>
      </c>
      <c r="X6" s="4">
        <v>1717662512</v>
      </c>
      <c r="Y6" s="4" t="s">
        <v>71</v>
      </c>
      <c r="Z6" s="4" t="s">
        <v>55</v>
      </c>
      <c r="AA6" s="4" t="s">
        <v>72</v>
      </c>
      <c r="AB6" s="4" t="s">
        <v>61</v>
      </c>
      <c r="AC6" s="4" t="s">
        <v>73</v>
      </c>
      <c r="AD6" s="4" t="s">
        <v>62</v>
      </c>
      <c r="AE6" s="4" t="s">
        <v>55</v>
      </c>
      <c r="AF6" s="4" t="s">
        <v>55</v>
      </c>
      <c r="AG6" s="4" t="s">
        <v>74</v>
      </c>
      <c r="AH6" s="4">
        <v>0</v>
      </c>
      <c r="AI6" s="4" t="s">
        <v>64</v>
      </c>
      <c r="AJ6" s="4" t="s">
        <v>49</v>
      </c>
      <c r="AK6" s="5">
        <v>43131</v>
      </c>
      <c r="AL6" s="6">
        <v>43082</v>
      </c>
      <c r="AM6" s="4"/>
      <c r="AN6" s="4">
        <v>0</v>
      </c>
      <c r="AO6" s="4"/>
      <c r="AP6" s="9">
        <v>29</v>
      </c>
      <c r="AQ6" s="9">
        <v>0</v>
      </c>
      <c r="AR6" s="9">
        <v>29</v>
      </c>
      <c r="AS6" s="9">
        <v>0</v>
      </c>
      <c r="AT6" s="4" t="s">
        <v>49</v>
      </c>
    </row>
    <row r="7" spans="1:46" ht="150" hidden="1" x14ac:dyDescent="0.25">
      <c r="A7" s="4">
        <v>29027941</v>
      </c>
      <c r="B7" s="4" t="str">
        <f>""</f>
        <v/>
      </c>
      <c r="C7" s="4" t="str">
        <f t="shared" ref="C7:C17" si="0">"170700200001"</f>
        <v>170700200001</v>
      </c>
      <c r="D7" s="4">
        <v>5</v>
      </c>
      <c r="E7" s="4" t="s">
        <v>47</v>
      </c>
      <c r="F7" s="4" t="s">
        <v>79</v>
      </c>
      <c r="G7" s="4" t="str">
        <f>"29027941"</f>
        <v>29027941</v>
      </c>
      <c r="H7" s="4" t="str">
        <f t="shared" ref="H7:H17" si="1">"TECLADO + MOUSE INALAMBRICOS CON BATERIAS /2.4 GHZ CON NANO RECEPTOR USB"</f>
        <v>TECLADO + MOUSE INALAMBRICOS CON BATERIAS /2.4 GHZ CON NANO RECEPTOR USB</v>
      </c>
      <c r="I7" s="4" t="str">
        <f t="shared" ref="I7:I17" si="2">"LOGITECH MK WIRELES / PROTOCOLO NO UNIFYING CON RADIO DE ACCION DE 10 METROS"</f>
        <v>LOGITECH MK WIRELES / PROTOCOLO NO UNIFYING CON RADIO DE ACCION DE 10 METROS</v>
      </c>
      <c r="J7" s="4" t="s">
        <v>49</v>
      </c>
      <c r="K7" s="4"/>
      <c r="L7" s="9">
        <v>38.6</v>
      </c>
      <c r="M7" s="4" t="s">
        <v>49</v>
      </c>
      <c r="N7" s="4" t="s">
        <v>81</v>
      </c>
      <c r="O7" s="4" t="s">
        <v>82</v>
      </c>
      <c r="P7" s="4" t="s">
        <v>83</v>
      </c>
      <c r="Q7" s="4" t="s">
        <v>54</v>
      </c>
      <c r="R7" s="4" t="s">
        <v>55</v>
      </c>
      <c r="S7" s="4" t="s">
        <v>56</v>
      </c>
      <c r="T7" s="4">
        <v>6</v>
      </c>
      <c r="U7" s="4" t="s">
        <v>57</v>
      </c>
      <c r="V7" s="4">
        <v>97459</v>
      </c>
      <c r="W7" s="4" t="s">
        <v>58</v>
      </c>
      <c r="X7" s="4">
        <v>1717662512</v>
      </c>
      <c r="Y7" s="4" t="s">
        <v>71</v>
      </c>
      <c r="Z7" s="4" t="s">
        <v>55</v>
      </c>
      <c r="AA7" s="4" t="s">
        <v>60</v>
      </c>
      <c r="AB7" s="4" t="s">
        <v>61</v>
      </c>
      <c r="AC7" s="4">
        <v>587</v>
      </c>
      <c r="AD7" s="4" t="s">
        <v>62</v>
      </c>
      <c r="AE7" s="4" t="s">
        <v>55</v>
      </c>
      <c r="AF7" s="4" t="s">
        <v>55</v>
      </c>
      <c r="AG7" s="4" t="s">
        <v>84</v>
      </c>
      <c r="AH7" s="4">
        <v>531407</v>
      </c>
      <c r="AI7" s="4" t="s">
        <v>64</v>
      </c>
      <c r="AJ7" s="4" t="s">
        <v>49</v>
      </c>
      <c r="AK7" s="5">
        <v>43753</v>
      </c>
      <c r="AL7" s="6">
        <v>43768</v>
      </c>
      <c r="AM7" s="6">
        <v>43768</v>
      </c>
      <c r="AN7" s="4">
        <v>0</v>
      </c>
      <c r="AO7" s="4"/>
      <c r="AP7" s="9">
        <v>38.6</v>
      </c>
      <c r="AQ7" s="9">
        <v>0</v>
      </c>
      <c r="AR7" s="9">
        <v>38.6</v>
      </c>
      <c r="AS7" s="9">
        <v>0</v>
      </c>
      <c r="AT7" s="4" t="s">
        <v>49</v>
      </c>
    </row>
    <row r="8" spans="1:46" ht="150" hidden="1" x14ac:dyDescent="0.25">
      <c r="A8" s="4">
        <v>29027942</v>
      </c>
      <c r="B8" s="4" t="str">
        <f>""</f>
        <v/>
      </c>
      <c r="C8" s="4" t="str">
        <f t="shared" si="0"/>
        <v>170700200001</v>
      </c>
      <c r="D8" s="4">
        <v>5</v>
      </c>
      <c r="E8" s="4" t="s">
        <v>47</v>
      </c>
      <c r="F8" s="4" t="s">
        <v>79</v>
      </c>
      <c r="G8" s="4" t="str">
        <f>"29027942"</f>
        <v>29027942</v>
      </c>
      <c r="H8" s="4" t="str">
        <f t="shared" si="1"/>
        <v>TECLADO + MOUSE INALAMBRICOS CON BATERIAS /2.4 GHZ CON NANO RECEPTOR USB</v>
      </c>
      <c r="I8" s="4" t="str">
        <f t="shared" si="2"/>
        <v>LOGITECH MK WIRELES / PROTOCOLO NO UNIFYING CON RADIO DE ACCION DE 10 METROS</v>
      </c>
      <c r="J8" s="4" t="s">
        <v>49</v>
      </c>
      <c r="K8" s="4"/>
      <c r="L8" s="9">
        <v>38.57</v>
      </c>
      <c r="M8" s="4" t="s">
        <v>49</v>
      </c>
      <c r="N8" s="4" t="s">
        <v>81</v>
      </c>
      <c r="O8" s="4" t="s">
        <v>82</v>
      </c>
      <c r="P8" s="4" t="s">
        <v>83</v>
      </c>
      <c r="Q8" s="4" t="s">
        <v>54</v>
      </c>
      <c r="R8" s="4" t="s">
        <v>55</v>
      </c>
      <c r="S8" s="4" t="s">
        <v>56</v>
      </c>
      <c r="T8" s="4">
        <v>6</v>
      </c>
      <c r="U8" s="4" t="s">
        <v>57</v>
      </c>
      <c r="V8" s="4">
        <v>97459</v>
      </c>
      <c r="W8" s="4" t="s">
        <v>58</v>
      </c>
      <c r="X8" s="4">
        <v>1717662512</v>
      </c>
      <c r="Y8" s="4" t="s">
        <v>71</v>
      </c>
      <c r="Z8" s="4" t="s">
        <v>55</v>
      </c>
      <c r="AA8" s="4" t="s">
        <v>60</v>
      </c>
      <c r="AB8" s="4" t="s">
        <v>61</v>
      </c>
      <c r="AC8" s="4">
        <v>587</v>
      </c>
      <c r="AD8" s="4" t="s">
        <v>62</v>
      </c>
      <c r="AE8" s="4" t="s">
        <v>55</v>
      </c>
      <c r="AF8" s="4" t="s">
        <v>55</v>
      </c>
      <c r="AG8" s="4" t="s">
        <v>84</v>
      </c>
      <c r="AH8" s="4">
        <v>531407</v>
      </c>
      <c r="AI8" s="4" t="s">
        <v>64</v>
      </c>
      <c r="AJ8" s="4" t="s">
        <v>49</v>
      </c>
      <c r="AK8" s="5">
        <v>43753</v>
      </c>
      <c r="AL8" s="6">
        <v>43768</v>
      </c>
      <c r="AM8" s="6">
        <v>43768</v>
      </c>
      <c r="AN8" s="4">
        <v>0</v>
      </c>
      <c r="AO8" s="4"/>
      <c r="AP8" s="9">
        <v>38.57</v>
      </c>
      <c r="AQ8" s="9">
        <v>0</v>
      </c>
      <c r="AR8" s="9">
        <v>38.57</v>
      </c>
      <c r="AS8" s="9">
        <v>0</v>
      </c>
      <c r="AT8" s="4" t="s">
        <v>49</v>
      </c>
    </row>
    <row r="9" spans="1:46" ht="150" hidden="1" x14ac:dyDescent="0.25">
      <c r="A9" s="4">
        <v>29027943</v>
      </c>
      <c r="B9" s="4" t="str">
        <f>""</f>
        <v/>
      </c>
      <c r="C9" s="4" t="str">
        <f t="shared" si="0"/>
        <v>170700200001</v>
      </c>
      <c r="D9" s="4">
        <v>5</v>
      </c>
      <c r="E9" s="4" t="s">
        <v>47</v>
      </c>
      <c r="F9" s="4" t="s">
        <v>79</v>
      </c>
      <c r="G9" s="4" t="str">
        <f>"29027943"</f>
        <v>29027943</v>
      </c>
      <c r="H9" s="4" t="str">
        <f t="shared" si="1"/>
        <v>TECLADO + MOUSE INALAMBRICOS CON BATERIAS /2.4 GHZ CON NANO RECEPTOR USB</v>
      </c>
      <c r="I9" s="4" t="str">
        <f t="shared" si="2"/>
        <v>LOGITECH MK WIRELES / PROTOCOLO NO UNIFYING CON RADIO DE ACCION DE 10 METROS</v>
      </c>
      <c r="J9" s="4" t="s">
        <v>49</v>
      </c>
      <c r="K9" s="4"/>
      <c r="L9" s="9">
        <v>38.57</v>
      </c>
      <c r="M9" s="4" t="s">
        <v>49</v>
      </c>
      <c r="N9" s="4" t="s">
        <v>81</v>
      </c>
      <c r="O9" s="4" t="s">
        <v>82</v>
      </c>
      <c r="P9" s="4" t="s">
        <v>83</v>
      </c>
      <c r="Q9" s="4" t="s">
        <v>54</v>
      </c>
      <c r="R9" s="4" t="s">
        <v>55</v>
      </c>
      <c r="S9" s="4" t="s">
        <v>56</v>
      </c>
      <c r="T9" s="4">
        <v>6</v>
      </c>
      <c r="U9" s="4" t="s">
        <v>57</v>
      </c>
      <c r="V9" s="4">
        <v>97459</v>
      </c>
      <c r="W9" s="4" t="s">
        <v>58</v>
      </c>
      <c r="X9" s="4">
        <v>1716349814</v>
      </c>
      <c r="Y9" s="4" t="s">
        <v>86</v>
      </c>
      <c r="Z9" s="4" t="s">
        <v>55</v>
      </c>
      <c r="AA9" s="4" t="s">
        <v>60</v>
      </c>
      <c r="AB9" s="4" t="s">
        <v>61</v>
      </c>
      <c r="AC9" s="4">
        <v>587</v>
      </c>
      <c r="AD9" s="4" t="s">
        <v>62</v>
      </c>
      <c r="AE9" s="4" t="s">
        <v>55</v>
      </c>
      <c r="AF9" s="4" t="s">
        <v>55</v>
      </c>
      <c r="AG9" s="4" t="s">
        <v>84</v>
      </c>
      <c r="AH9" s="4">
        <v>531407</v>
      </c>
      <c r="AI9" s="4" t="s">
        <v>64</v>
      </c>
      <c r="AJ9" s="4" t="s">
        <v>49</v>
      </c>
      <c r="AK9" s="5">
        <v>43753</v>
      </c>
      <c r="AL9" s="6">
        <v>43768</v>
      </c>
      <c r="AM9" s="6">
        <v>43768</v>
      </c>
      <c r="AN9" s="4">
        <v>0</v>
      </c>
      <c r="AO9" s="4"/>
      <c r="AP9" s="9">
        <v>38.57</v>
      </c>
      <c r="AQ9" s="9">
        <v>0</v>
      </c>
      <c r="AR9" s="9">
        <v>38.57</v>
      </c>
      <c r="AS9" s="9">
        <v>0</v>
      </c>
      <c r="AT9" s="4" t="s">
        <v>49</v>
      </c>
    </row>
    <row r="10" spans="1:46" ht="150" hidden="1" x14ac:dyDescent="0.25">
      <c r="A10" s="4">
        <v>29027944</v>
      </c>
      <c r="B10" s="4" t="str">
        <f>""</f>
        <v/>
      </c>
      <c r="C10" s="4" t="str">
        <f t="shared" si="0"/>
        <v>170700200001</v>
      </c>
      <c r="D10" s="4">
        <v>5</v>
      </c>
      <c r="E10" s="4" t="s">
        <v>47</v>
      </c>
      <c r="F10" s="4" t="s">
        <v>79</v>
      </c>
      <c r="G10" s="4" t="str">
        <f>"29027944"</f>
        <v>29027944</v>
      </c>
      <c r="H10" s="4" t="str">
        <f t="shared" si="1"/>
        <v>TECLADO + MOUSE INALAMBRICOS CON BATERIAS /2.4 GHZ CON NANO RECEPTOR USB</v>
      </c>
      <c r="I10" s="4" t="str">
        <f t="shared" si="2"/>
        <v>LOGITECH MK WIRELES / PROTOCOLO NO UNIFYING CON RADIO DE ACCION DE 10 METROS</v>
      </c>
      <c r="J10" s="4" t="s">
        <v>49</v>
      </c>
      <c r="K10" s="4"/>
      <c r="L10" s="9">
        <v>38.57</v>
      </c>
      <c r="M10" s="4" t="s">
        <v>49</v>
      </c>
      <c r="N10" s="4" t="s">
        <v>81</v>
      </c>
      <c r="O10" s="4" t="s">
        <v>82</v>
      </c>
      <c r="P10" s="4" t="s">
        <v>83</v>
      </c>
      <c r="Q10" s="4" t="s">
        <v>54</v>
      </c>
      <c r="R10" s="4" t="s">
        <v>55</v>
      </c>
      <c r="S10" s="4" t="s">
        <v>56</v>
      </c>
      <c r="T10" s="4">
        <v>6</v>
      </c>
      <c r="U10" s="4" t="s">
        <v>57</v>
      </c>
      <c r="V10" s="4">
        <v>97459</v>
      </c>
      <c r="W10" s="4" t="s">
        <v>58</v>
      </c>
      <c r="X10" s="4">
        <v>1709459232</v>
      </c>
      <c r="Y10" s="4" t="s">
        <v>87</v>
      </c>
      <c r="Z10" s="4" t="s">
        <v>55</v>
      </c>
      <c r="AA10" s="4" t="s">
        <v>60</v>
      </c>
      <c r="AB10" s="4" t="s">
        <v>61</v>
      </c>
      <c r="AC10" s="4">
        <v>587</v>
      </c>
      <c r="AD10" s="4" t="s">
        <v>62</v>
      </c>
      <c r="AE10" s="4" t="s">
        <v>55</v>
      </c>
      <c r="AF10" s="4" t="s">
        <v>55</v>
      </c>
      <c r="AG10" s="4" t="s">
        <v>84</v>
      </c>
      <c r="AH10" s="4">
        <v>531407</v>
      </c>
      <c r="AI10" s="4" t="s">
        <v>64</v>
      </c>
      <c r="AJ10" s="4" t="s">
        <v>49</v>
      </c>
      <c r="AK10" s="5">
        <v>43753</v>
      </c>
      <c r="AL10" s="6">
        <v>43768</v>
      </c>
      <c r="AM10" s="6">
        <v>43768</v>
      </c>
      <c r="AN10" s="4">
        <v>0</v>
      </c>
      <c r="AO10" s="4"/>
      <c r="AP10" s="9">
        <v>38.57</v>
      </c>
      <c r="AQ10" s="9">
        <v>0</v>
      </c>
      <c r="AR10" s="9">
        <v>38.57</v>
      </c>
      <c r="AS10" s="9">
        <v>0</v>
      </c>
      <c r="AT10" s="4" t="s">
        <v>49</v>
      </c>
    </row>
    <row r="11" spans="1:46" ht="150" hidden="1" x14ac:dyDescent="0.25">
      <c r="A11" s="4">
        <v>29027945</v>
      </c>
      <c r="B11" s="4" t="str">
        <f>""</f>
        <v/>
      </c>
      <c r="C11" s="4" t="str">
        <f t="shared" si="0"/>
        <v>170700200001</v>
      </c>
      <c r="D11" s="4">
        <v>5</v>
      </c>
      <c r="E11" s="4" t="s">
        <v>47</v>
      </c>
      <c r="F11" s="4" t="s">
        <v>79</v>
      </c>
      <c r="G11" s="4" t="str">
        <f>"29027945"</f>
        <v>29027945</v>
      </c>
      <c r="H11" s="4" t="str">
        <f t="shared" si="1"/>
        <v>TECLADO + MOUSE INALAMBRICOS CON BATERIAS /2.4 GHZ CON NANO RECEPTOR USB</v>
      </c>
      <c r="I11" s="4" t="str">
        <f t="shared" si="2"/>
        <v>LOGITECH MK WIRELES / PROTOCOLO NO UNIFYING CON RADIO DE ACCION DE 10 METROS</v>
      </c>
      <c r="J11" s="4" t="s">
        <v>49</v>
      </c>
      <c r="K11" s="4"/>
      <c r="L11" s="9">
        <v>38.57</v>
      </c>
      <c r="M11" s="4" t="s">
        <v>49</v>
      </c>
      <c r="N11" s="4" t="s">
        <v>81</v>
      </c>
      <c r="O11" s="4" t="s">
        <v>82</v>
      </c>
      <c r="P11" s="4" t="s">
        <v>83</v>
      </c>
      <c r="Q11" s="4" t="s">
        <v>54</v>
      </c>
      <c r="R11" s="4" t="s">
        <v>55</v>
      </c>
      <c r="S11" s="4" t="s">
        <v>56</v>
      </c>
      <c r="T11" s="4">
        <v>6</v>
      </c>
      <c r="U11" s="4" t="s">
        <v>57</v>
      </c>
      <c r="V11" s="4">
        <v>97459</v>
      </c>
      <c r="W11" s="4" t="s">
        <v>58</v>
      </c>
      <c r="X11" s="4">
        <v>1717662512</v>
      </c>
      <c r="Y11" s="4" t="s">
        <v>71</v>
      </c>
      <c r="Z11" s="4" t="s">
        <v>55</v>
      </c>
      <c r="AA11" s="4" t="s">
        <v>60</v>
      </c>
      <c r="AB11" s="4" t="s">
        <v>61</v>
      </c>
      <c r="AC11" s="4">
        <v>587</v>
      </c>
      <c r="AD11" s="4" t="s">
        <v>62</v>
      </c>
      <c r="AE11" s="4" t="s">
        <v>55</v>
      </c>
      <c r="AF11" s="4" t="s">
        <v>55</v>
      </c>
      <c r="AG11" s="4" t="s">
        <v>84</v>
      </c>
      <c r="AH11" s="4">
        <v>531407</v>
      </c>
      <c r="AI11" s="4" t="s">
        <v>64</v>
      </c>
      <c r="AJ11" s="4" t="s">
        <v>49</v>
      </c>
      <c r="AK11" s="5">
        <v>43753</v>
      </c>
      <c r="AL11" s="6">
        <v>43768</v>
      </c>
      <c r="AM11" s="6">
        <v>43768</v>
      </c>
      <c r="AN11" s="4">
        <v>0</v>
      </c>
      <c r="AO11" s="4"/>
      <c r="AP11" s="9">
        <v>38.57</v>
      </c>
      <c r="AQ11" s="9">
        <v>0</v>
      </c>
      <c r="AR11" s="9">
        <v>38.57</v>
      </c>
      <c r="AS11" s="9">
        <v>0</v>
      </c>
      <c r="AT11" s="4" t="s">
        <v>49</v>
      </c>
    </row>
    <row r="12" spans="1:46" ht="150" hidden="1" x14ac:dyDescent="0.25">
      <c r="A12" s="4">
        <v>29027946</v>
      </c>
      <c r="B12" s="4" t="str">
        <f>""</f>
        <v/>
      </c>
      <c r="C12" s="4" t="str">
        <f t="shared" si="0"/>
        <v>170700200001</v>
      </c>
      <c r="D12" s="4">
        <v>5</v>
      </c>
      <c r="E12" s="4" t="s">
        <v>47</v>
      </c>
      <c r="F12" s="4" t="s">
        <v>79</v>
      </c>
      <c r="G12" s="4" t="str">
        <f>"29027946"</f>
        <v>29027946</v>
      </c>
      <c r="H12" s="4" t="str">
        <f t="shared" si="1"/>
        <v>TECLADO + MOUSE INALAMBRICOS CON BATERIAS /2.4 GHZ CON NANO RECEPTOR USB</v>
      </c>
      <c r="I12" s="4" t="str">
        <f t="shared" si="2"/>
        <v>LOGITECH MK WIRELES / PROTOCOLO NO UNIFYING CON RADIO DE ACCION DE 10 METROS</v>
      </c>
      <c r="J12" s="4" t="s">
        <v>49</v>
      </c>
      <c r="K12" s="4"/>
      <c r="L12" s="9">
        <v>38.57</v>
      </c>
      <c r="M12" s="4" t="s">
        <v>49</v>
      </c>
      <c r="N12" s="4" t="s">
        <v>81</v>
      </c>
      <c r="O12" s="4" t="s">
        <v>82</v>
      </c>
      <c r="P12" s="4" t="s">
        <v>83</v>
      </c>
      <c r="Q12" s="4" t="s">
        <v>54</v>
      </c>
      <c r="R12" s="4" t="s">
        <v>55</v>
      </c>
      <c r="S12" s="4" t="s">
        <v>56</v>
      </c>
      <c r="T12" s="4">
        <v>6</v>
      </c>
      <c r="U12" s="4" t="s">
        <v>57</v>
      </c>
      <c r="V12" s="4">
        <v>97459</v>
      </c>
      <c r="W12" s="4" t="s">
        <v>58</v>
      </c>
      <c r="X12" s="4">
        <v>1717662512</v>
      </c>
      <c r="Y12" s="4" t="s">
        <v>71</v>
      </c>
      <c r="Z12" s="4" t="s">
        <v>55</v>
      </c>
      <c r="AA12" s="4" t="s">
        <v>60</v>
      </c>
      <c r="AB12" s="4" t="s">
        <v>61</v>
      </c>
      <c r="AC12" s="4">
        <v>587</v>
      </c>
      <c r="AD12" s="4" t="s">
        <v>62</v>
      </c>
      <c r="AE12" s="4" t="s">
        <v>55</v>
      </c>
      <c r="AF12" s="4" t="s">
        <v>55</v>
      </c>
      <c r="AG12" s="4" t="s">
        <v>84</v>
      </c>
      <c r="AH12" s="4">
        <v>531407</v>
      </c>
      <c r="AI12" s="4" t="s">
        <v>64</v>
      </c>
      <c r="AJ12" s="4" t="s">
        <v>49</v>
      </c>
      <c r="AK12" s="5">
        <v>43753</v>
      </c>
      <c r="AL12" s="6">
        <v>43760</v>
      </c>
      <c r="AM12" s="4"/>
      <c r="AN12" s="4">
        <v>0</v>
      </c>
      <c r="AO12" s="4"/>
      <c r="AP12" s="9">
        <v>38.57</v>
      </c>
      <c r="AQ12" s="9">
        <v>0</v>
      </c>
      <c r="AR12" s="9">
        <v>38.57</v>
      </c>
      <c r="AS12" s="9">
        <v>0</v>
      </c>
      <c r="AT12" s="4" t="s">
        <v>49</v>
      </c>
    </row>
    <row r="13" spans="1:46" ht="150" hidden="1" x14ac:dyDescent="0.25">
      <c r="A13" s="4">
        <v>29027947</v>
      </c>
      <c r="B13" s="4" t="str">
        <f>""</f>
        <v/>
      </c>
      <c r="C13" s="4" t="str">
        <f t="shared" si="0"/>
        <v>170700200001</v>
      </c>
      <c r="D13" s="4">
        <v>5</v>
      </c>
      <c r="E13" s="4" t="s">
        <v>47</v>
      </c>
      <c r="F13" s="4" t="s">
        <v>79</v>
      </c>
      <c r="G13" s="4" t="str">
        <f>"29027947"</f>
        <v>29027947</v>
      </c>
      <c r="H13" s="4" t="str">
        <f t="shared" si="1"/>
        <v>TECLADO + MOUSE INALAMBRICOS CON BATERIAS /2.4 GHZ CON NANO RECEPTOR USB</v>
      </c>
      <c r="I13" s="4" t="str">
        <f t="shared" si="2"/>
        <v>LOGITECH MK WIRELES / PROTOCOLO NO UNIFYING CON RADIO DE ACCION DE 10 METROS</v>
      </c>
      <c r="J13" s="4" t="s">
        <v>49</v>
      </c>
      <c r="K13" s="4"/>
      <c r="L13" s="9">
        <v>38.57</v>
      </c>
      <c r="M13" s="4" t="s">
        <v>49</v>
      </c>
      <c r="N13" s="4" t="s">
        <v>81</v>
      </c>
      <c r="O13" s="4" t="s">
        <v>82</v>
      </c>
      <c r="P13" s="4" t="s">
        <v>83</v>
      </c>
      <c r="Q13" s="4" t="s">
        <v>54</v>
      </c>
      <c r="R13" s="4" t="s">
        <v>55</v>
      </c>
      <c r="S13" s="4" t="s">
        <v>56</v>
      </c>
      <c r="T13" s="4">
        <v>6</v>
      </c>
      <c r="U13" s="4" t="s">
        <v>57</v>
      </c>
      <c r="V13" s="4">
        <v>97459</v>
      </c>
      <c r="W13" s="4" t="s">
        <v>58</v>
      </c>
      <c r="X13" s="4">
        <v>1717662512</v>
      </c>
      <c r="Y13" s="4" t="s">
        <v>71</v>
      </c>
      <c r="Z13" s="4" t="s">
        <v>55</v>
      </c>
      <c r="AA13" s="4" t="s">
        <v>60</v>
      </c>
      <c r="AB13" s="4" t="s">
        <v>61</v>
      </c>
      <c r="AC13" s="4">
        <v>587</v>
      </c>
      <c r="AD13" s="4" t="s">
        <v>62</v>
      </c>
      <c r="AE13" s="4" t="s">
        <v>55</v>
      </c>
      <c r="AF13" s="4" t="s">
        <v>55</v>
      </c>
      <c r="AG13" s="4" t="s">
        <v>84</v>
      </c>
      <c r="AH13" s="4">
        <v>531407</v>
      </c>
      <c r="AI13" s="4" t="s">
        <v>64</v>
      </c>
      <c r="AJ13" s="4" t="s">
        <v>49</v>
      </c>
      <c r="AK13" s="5">
        <v>43753</v>
      </c>
      <c r="AL13" s="6">
        <v>43768</v>
      </c>
      <c r="AM13" s="6">
        <v>43768</v>
      </c>
      <c r="AN13" s="4">
        <v>0</v>
      </c>
      <c r="AO13" s="4"/>
      <c r="AP13" s="9">
        <v>38.57</v>
      </c>
      <c r="AQ13" s="9">
        <v>0</v>
      </c>
      <c r="AR13" s="9">
        <v>38.57</v>
      </c>
      <c r="AS13" s="9">
        <v>0</v>
      </c>
      <c r="AT13" s="4" t="s">
        <v>49</v>
      </c>
    </row>
    <row r="14" spans="1:46" ht="150" hidden="1" x14ac:dyDescent="0.25">
      <c r="A14" s="4">
        <v>29027948</v>
      </c>
      <c r="B14" s="4" t="str">
        <f>""</f>
        <v/>
      </c>
      <c r="C14" s="4" t="str">
        <f t="shared" si="0"/>
        <v>170700200001</v>
      </c>
      <c r="D14" s="4">
        <v>5</v>
      </c>
      <c r="E14" s="4" t="s">
        <v>47</v>
      </c>
      <c r="F14" s="4" t="s">
        <v>79</v>
      </c>
      <c r="G14" s="4" t="str">
        <f>"29027948"</f>
        <v>29027948</v>
      </c>
      <c r="H14" s="4" t="str">
        <f t="shared" si="1"/>
        <v>TECLADO + MOUSE INALAMBRICOS CON BATERIAS /2.4 GHZ CON NANO RECEPTOR USB</v>
      </c>
      <c r="I14" s="4" t="str">
        <f t="shared" si="2"/>
        <v>LOGITECH MK WIRELES / PROTOCOLO NO UNIFYING CON RADIO DE ACCION DE 10 METROS</v>
      </c>
      <c r="J14" s="4" t="s">
        <v>49</v>
      </c>
      <c r="K14" s="4"/>
      <c r="L14" s="9">
        <v>38.57</v>
      </c>
      <c r="M14" s="4" t="s">
        <v>49</v>
      </c>
      <c r="N14" s="4" t="s">
        <v>81</v>
      </c>
      <c r="O14" s="4" t="s">
        <v>82</v>
      </c>
      <c r="P14" s="4" t="s">
        <v>88</v>
      </c>
      <c r="Q14" s="4" t="s">
        <v>54</v>
      </c>
      <c r="R14" s="4" t="s">
        <v>55</v>
      </c>
      <c r="S14" s="4" t="s">
        <v>56</v>
      </c>
      <c r="T14" s="4">
        <v>6</v>
      </c>
      <c r="U14" s="4" t="s">
        <v>57</v>
      </c>
      <c r="V14" s="4">
        <v>97459</v>
      </c>
      <c r="W14" s="4" t="s">
        <v>58</v>
      </c>
      <c r="X14" s="4">
        <v>1717662512</v>
      </c>
      <c r="Y14" s="4" t="s">
        <v>71</v>
      </c>
      <c r="Z14" s="4" t="s">
        <v>55</v>
      </c>
      <c r="AA14" s="4" t="s">
        <v>60</v>
      </c>
      <c r="AB14" s="4" t="s">
        <v>61</v>
      </c>
      <c r="AC14" s="4">
        <v>587</v>
      </c>
      <c r="AD14" s="4" t="s">
        <v>62</v>
      </c>
      <c r="AE14" s="4" t="s">
        <v>55</v>
      </c>
      <c r="AF14" s="4" t="s">
        <v>55</v>
      </c>
      <c r="AG14" s="4" t="s">
        <v>84</v>
      </c>
      <c r="AH14" s="4">
        <v>531407</v>
      </c>
      <c r="AI14" s="4" t="s">
        <v>64</v>
      </c>
      <c r="AJ14" s="4" t="s">
        <v>49</v>
      </c>
      <c r="AK14" s="5">
        <v>43753</v>
      </c>
      <c r="AL14" s="6">
        <v>43768</v>
      </c>
      <c r="AM14" s="6">
        <v>43768</v>
      </c>
      <c r="AN14" s="4">
        <v>0</v>
      </c>
      <c r="AO14" s="4"/>
      <c r="AP14" s="9">
        <v>38.57</v>
      </c>
      <c r="AQ14" s="9">
        <v>0</v>
      </c>
      <c r="AR14" s="9">
        <v>38.57</v>
      </c>
      <c r="AS14" s="9">
        <v>0</v>
      </c>
      <c r="AT14" s="4" t="s">
        <v>49</v>
      </c>
    </row>
    <row r="15" spans="1:46" ht="150" hidden="1" x14ac:dyDescent="0.25">
      <c r="A15" s="4">
        <v>29027949</v>
      </c>
      <c r="B15" s="4" t="str">
        <f>""</f>
        <v/>
      </c>
      <c r="C15" s="4" t="str">
        <f t="shared" si="0"/>
        <v>170700200001</v>
      </c>
      <c r="D15" s="4">
        <v>5</v>
      </c>
      <c r="E15" s="4" t="s">
        <v>47</v>
      </c>
      <c r="F15" s="4" t="s">
        <v>79</v>
      </c>
      <c r="G15" s="4" t="str">
        <f>"29027949"</f>
        <v>29027949</v>
      </c>
      <c r="H15" s="4" t="str">
        <f t="shared" si="1"/>
        <v>TECLADO + MOUSE INALAMBRICOS CON BATERIAS /2.4 GHZ CON NANO RECEPTOR USB</v>
      </c>
      <c r="I15" s="4" t="str">
        <f t="shared" si="2"/>
        <v>LOGITECH MK WIRELES / PROTOCOLO NO UNIFYING CON RADIO DE ACCION DE 10 METROS</v>
      </c>
      <c r="J15" s="4" t="s">
        <v>49</v>
      </c>
      <c r="K15" s="4"/>
      <c r="L15" s="9">
        <v>38.57</v>
      </c>
      <c r="M15" s="4" t="s">
        <v>49</v>
      </c>
      <c r="N15" s="4" t="s">
        <v>81</v>
      </c>
      <c r="O15" s="4" t="s">
        <v>82</v>
      </c>
      <c r="P15" s="4" t="s">
        <v>83</v>
      </c>
      <c r="Q15" s="4" t="s">
        <v>54</v>
      </c>
      <c r="R15" s="4" t="s">
        <v>55</v>
      </c>
      <c r="S15" s="4" t="s">
        <v>56</v>
      </c>
      <c r="T15" s="4">
        <v>6</v>
      </c>
      <c r="U15" s="4" t="s">
        <v>57</v>
      </c>
      <c r="V15" s="4">
        <v>97459</v>
      </c>
      <c r="W15" s="4" t="s">
        <v>58</v>
      </c>
      <c r="X15" s="4">
        <v>1714641105</v>
      </c>
      <c r="Y15" s="4" t="s">
        <v>89</v>
      </c>
      <c r="Z15" s="4" t="s">
        <v>55</v>
      </c>
      <c r="AA15" s="4" t="s">
        <v>60</v>
      </c>
      <c r="AB15" s="4" t="s">
        <v>61</v>
      </c>
      <c r="AC15" s="4">
        <v>587</v>
      </c>
      <c r="AD15" s="4" t="s">
        <v>62</v>
      </c>
      <c r="AE15" s="4" t="s">
        <v>55</v>
      </c>
      <c r="AF15" s="4" t="s">
        <v>55</v>
      </c>
      <c r="AG15" s="4" t="s">
        <v>84</v>
      </c>
      <c r="AH15" s="4">
        <v>531407</v>
      </c>
      <c r="AI15" s="4" t="s">
        <v>64</v>
      </c>
      <c r="AJ15" s="4" t="s">
        <v>49</v>
      </c>
      <c r="AK15" s="5">
        <v>43753</v>
      </c>
      <c r="AL15" s="6">
        <v>43768</v>
      </c>
      <c r="AM15" s="6">
        <v>43768</v>
      </c>
      <c r="AN15" s="4">
        <v>0</v>
      </c>
      <c r="AO15" s="4"/>
      <c r="AP15" s="9">
        <v>38.57</v>
      </c>
      <c r="AQ15" s="9">
        <v>0</v>
      </c>
      <c r="AR15" s="9">
        <v>38.57</v>
      </c>
      <c r="AS15" s="9">
        <v>0</v>
      </c>
      <c r="AT15" s="4" t="s">
        <v>49</v>
      </c>
    </row>
    <row r="16" spans="1:46" ht="150" hidden="1" x14ac:dyDescent="0.25">
      <c r="A16" s="4">
        <v>29027950</v>
      </c>
      <c r="B16" s="4" t="str">
        <f>""</f>
        <v/>
      </c>
      <c r="C16" s="4" t="str">
        <f t="shared" si="0"/>
        <v>170700200001</v>
      </c>
      <c r="D16" s="4">
        <v>5</v>
      </c>
      <c r="E16" s="4" t="s">
        <v>47</v>
      </c>
      <c r="F16" s="4" t="s">
        <v>79</v>
      </c>
      <c r="G16" s="4" t="str">
        <f>"29027950"</f>
        <v>29027950</v>
      </c>
      <c r="H16" s="4" t="str">
        <f t="shared" si="1"/>
        <v>TECLADO + MOUSE INALAMBRICOS CON BATERIAS /2.4 GHZ CON NANO RECEPTOR USB</v>
      </c>
      <c r="I16" s="4" t="str">
        <f t="shared" si="2"/>
        <v>LOGITECH MK WIRELES / PROTOCOLO NO UNIFYING CON RADIO DE ACCION DE 10 METROS</v>
      </c>
      <c r="J16" s="4" t="s">
        <v>49</v>
      </c>
      <c r="K16" s="4"/>
      <c r="L16" s="9">
        <v>38.57</v>
      </c>
      <c r="M16" s="4" t="s">
        <v>49</v>
      </c>
      <c r="N16" s="4" t="s">
        <v>81</v>
      </c>
      <c r="O16" s="4" t="s">
        <v>82</v>
      </c>
      <c r="P16" s="4" t="s">
        <v>83</v>
      </c>
      <c r="Q16" s="4" t="s">
        <v>54</v>
      </c>
      <c r="R16" s="4" t="s">
        <v>55</v>
      </c>
      <c r="S16" s="4" t="s">
        <v>56</v>
      </c>
      <c r="T16" s="4">
        <v>6</v>
      </c>
      <c r="U16" s="4" t="s">
        <v>57</v>
      </c>
      <c r="V16" s="4">
        <v>97459</v>
      </c>
      <c r="W16" s="4" t="s">
        <v>58</v>
      </c>
      <c r="X16" s="4">
        <v>1717662512</v>
      </c>
      <c r="Y16" s="4" t="s">
        <v>71</v>
      </c>
      <c r="Z16" s="4" t="s">
        <v>55</v>
      </c>
      <c r="AA16" s="4" t="s">
        <v>60</v>
      </c>
      <c r="AB16" s="4" t="s">
        <v>61</v>
      </c>
      <c r="AC16" s="4">
        <v>587</v>
      </c>
      <c r="AD16" s="4" t="s">
        <v>62</v>
      </c>
      <c r="AE16" s="4" t="s">
        <v>55</v>
      </c>
      <c r="AF16" s="4" t="s">
        <v>55</v>
      </c>
      <c r="AG16" s="4" t="s">
        <v>84</v>
      </c>
      <c r="AH16" s="4">
        <v>531407</v>
      </c>
      <c r="AI16" s="4" t="s">
        <v>64</v>
      </c>
      <c r="AJ16" s="4" t="s">
        <v>49</v>
      </c>
      <c r="AK16" s="5">
        <v>43753</v>
      </c>
      <c r="AL16" s="6">
        <v>43768</v>
      </c>
      <c r="AM16" s="6">
        <v>43768</v>
      </c>
      <c r="AN16" s="4">
        <v>0</v>
      </c>
      <c r="AO16" s="4"/>
      <c r="AP16" s="9">
        <v>38.57</v>
      </c>
      <c r="AQ16" s="9">
        <v>0</v>
      </c>
      <c r="AR16" s="9">
        <v>38.57</v>
      </c>
      <c r="AS16" s="9">
        <v>0</v>
      </c>
      <c r="AT16" s="4" t="s">
        <v>49</v>
      </c>
    </row>
    <row r="17" spans="1:46" ht="150" hidden="1" x14ac:dyDescent="0.25">
      <c r="A17" s="4">
        <v>29027951</v>
      </c>
      <c r="B17" s="4" t="str">
        <f>""</f>
        <v/>
      </c>
      <c r="C17" s="4" t="str">
        <f t="shared" si="0"/>
        <v>170700200001</v>
      </c>
      <c r="D17" s="4">
        <v>5</v>
      </c>
      <c r="E17" s="4" t="s">
        <v>47</v>
      </c>
      <c r="F17" s="4" t="s">
        <v>79</v>
      </c>
      <c r="G17" s="4" t="str">
        <f>"29027951"</f>
        <v>29027951</v>
      </c>
      <c r="H17" s="4" t="str">
        <f t="shared" si="1"/>
        <v>TECLADO + MOUSE INALAMBRICOS CON BATERIAS /2.4 GHZ CON NANO RECEPTOR USB</v>
      </c>
      <c r="I17" s="4" t="str">
        <f t="shared" si="2"/>
        <v>LOGITECH MK WIRELES / PROTOCOLO NO UNIFYING CON RADIO DE ACCION DE 10 METROS</v>
      </c>
      <c r="J17" s="4" t="s">
        <v>49</v>
      </c>
      <c r="K17" s="4"/>
      <c r="L17" s="9">
        <v>38.57</v>
      </c>
      <c r="M17" s="4" t="s">
        <v>49</v>
      </c>
      <c r="N17" s="4" t="s">
        <v>81</v>
      </c>
      <c r="O17" s="4" t="s">
        <v>82</v>
      </c>
      <c r="P17" s="4" t="s">
        <v>83</v>
      </c>
      <c r="Q17" s="4" t="s">
        <v>54</v>
      </c>
      <c r="R17" s="4" t="s">
        <v>55</v>
      </c>
      <c r="S17" s="4" t="s">
        <v>56</v>
      </c>
      <c r="T17" s="4">
        <v>6</v>
      </c>
      <c r="U17" s="4" t="s">
        <v>57</v>
      </c>
      <c r="V17" s="4">
        <v>97459</v>
      </c>
      <c r="W17" s="4" t="s">
        <v>58</v>
      </c>
      <c r="X17" s="4">
        <v>1717662512</v>
      </c>
      <c r="Y17" s="4" t="s">
        <v>71</v>
      </c>
      <c r="Z17" s="4" t="s">
        <v>55</v>
      </c>
      <c r="AA17" s="4" t="s">
        <v>60</v>
      </c>
      <c r="AB17" s="4" t="s">
        <v>61</v>
      </c>
      <c r="AC17" s="4">
        <v>587</v>
      </c>
      <c r="AD17" s="4" t="s">
        <v>62</v>
      </c>
      <c r="AE17" s="4" t="s">
        <v>55</v>
      </c>
      <c r="AF17" s="4" t="s">
        <v>55</v>
      </c>
      <c r="AG17" s="4" t="s">
        <v>84</v>
      </c>
      <c r="AH17" s="4">
        <v>531407</v>
      </c>
      <c r="AI17" s="4" t="s">
        <v>64</v>
      </c>
      <c r="AJ17" s="4" t="s">
        <v>49</v>
      </c>
      <c r="AK17" s="5">
        <v>43753</v>
      </c>
      <c r="AL17" s="6">
        <v>43768</v>
      </c>
      <c r="AM17" s="6">
        <v>43768</v>
      </c>
      <c r="AN17" s="4">
        <v>0</v>
      </c>
      <c r="AO17" s="4"/>
      <c r="AP17" s="9">
        <v>38.57</v>
      </c>
      <c r="AQ17" s="9">
        <v>0</v>
      </c>
      <c r="AR17" s="9">
        <v>38.57</v>
      </c>
      <c r="AS17" s="9">
        <v>0</v>
      </c>
      <c r="AT17" s="4" t="s">
        <v>49</v>
      </c>
    </row>
    <row r="18" spans="1:46" ht="105" hidden="1" x14ac:dyDescent="0.25">
      <c r="A18" s="4">
        <v>30555843</v>
      </c>
      <c r="B18" s="4" t="str">
        <f>""</f>
        <v/>
      </c>
      <c r="C18" s="4" t="str">
        <f>"170300990001"</f>
        <v>170300990001</v>
      </c>
      <c r="D18" s="4">
        <v>4</v>
      </c>
      <c r="E18" s="4" t="s">
        <v>47</v>
      </c>
      <c r="F18" s="4" t="s">
        <v>90</v>
      </c>
      <c r="G18" s="4" t="str">
        <f>"30555843"</f>
        <v>30555843</v>
      </c>
      <c r="H18" s="4" t="str">
        <f>"SIN MODELO/ RECATNGULAR /TABLERO DE CORCHO"</f>
        <v>SIN MODELO/ RECATNGULAR /TABLERO DE CORCHO</v>
      </c>
      <c r="I18" s="4" t="str">
        <f>"SIN MARCA/ COLOR CAFÉ"</f>
        <v>SIN MARCA/ COLOR CAFÉ</v>
      </c>
      <c r="J18" s="4" t="s">
        <v>49</v>
      </c>
      <c r="K18" s="4"/>
      <c r="L18" s="9">
        <v>56.26</v>
      </c>
      <c r="M18" s="4" t="s">
        <v>49</v>
      </c>
      <c r="N18" s="4" t="s">
        <v>92</v>
      </c>
      <c r="O18" s="4" t="s">
        <v>93</v>
      </c>
      <c r="P18" s="4" t="s">
        <v>94</v>
      </c>
      <c r="Q18" s="4" t="s">
        <v>54</v>
      </c>
      <c r="R18" s="4" t="s">
        <v>55</v>
      </c>
      <c r="S18" s="4" t="s">
        <v>56</v>
      </c>
      <c r="T18" s="4">
        <v>6</v>
      </c>
      <c r="U18" s="4" t="s">
        <v>57</v>
      </c>
      <c r="V18" s="4">
        <v>97459</v>
      </c>
      <c r="W18" s="4" t="s">
        <v>58</v>
      </c>
      <c r="X18" s="4">
        <v>1003429584</v>
      </c>
      <c r="Y18" s="4" t="s">
        <v>95</v>
      </c>
      <c r="Z18" s="4" t="s">
        <v>55</v>
      </c>
      <c r="AA18" s="4" t="s">
        <v>96</v>
      </c>
      <c r="AB18" s="4" t="s">
        <v>61</v>
      </c>
      <c r="AC18" s="4" t="s">
        <v>73</v>
      </c>
      <c r="AD18" s="4" t="s">
        <v>62</v>
      </c>
      <c r="AE18" s="4" t="s">
        <v>55</v>
      </c>
      <c r="AF18" s="4" t="s">
        <v>55</v>
      </c>
      <c r="AG18" s="4" t="s">
        <v>97</v>
      </c>
      <c r="AH18" s="4">
        <v>0</v>
      </c>
      <c r="AI18" s="4" t="s">
        <v>64</v>
      </c>
      <c r="AJ18" s="4" t="s">
        <v>49</v>
      </c>
      <c r="AK18" s="5">
        <v>43893</v>
      </c>
      <c r="AL18" s="6">
        <v>43808</v>
      </c>
      <c r="AM18" s="4"/>
      <c r="AN18" s="4">
        <v>0</v>
      </c>
      <c r="AO18" s="4"/>
      <c r="AP18" s="9">
        <v>56.26</v>
      </c>
      <c r="AQ18" s="9">
        <v>0</v>
      </c>
      <c r="AR18" s="9">
        <v>56.26</v>
      </c>
      <c r="AS18" s="9">
        <v>0</v>
      </c>
      <c r="AT18" s="4" t="s">
        <v>49</v>
      </c>
    </row>
    <row r="19" spans="1:46" ht="105" hidden="1" x14ac:dyDescent="0.25">
      <c r="A19" s="4">
        <v>30555844</v>
      </c>
      <c r="B19" s="4" t="str">
        <f>""</f>
        <v/>
      </c>
      <c r="C19" s="4" t="str">
        <f>"170300990001"</f>
        <v>170300990001</v>
      </c>
      <c r="D19" s="4">
        <v>4</v>
      </c>
      <c r="E19" s="4" t="s">
        <v>47</v>
      </c>
      <c r="F19" s="4" t="s">
        <v>90</v>
      </c>
      <c r="G19" s="4" t="str">
        <f>"30555844"</f>
        <v>30555844</v>
      </c>
      <c r="H19" s="4" t="str">
        <f>"SIN MODELO/ RECATNGULAR /TABLERO DE CORCHO "</f>
        <v xml:space="preserve">SIN MODELO/ RECATNGULAR /TABLERO DE CORCHO </v>
      </c>
      <c r="I19" s="4" t="str">
        <f>"SIN MARCA/ COLOR CAFE "</f>
        <v xml:space="preserve">SIN MARCA/ COLOR CAFE </v>
      </c>
      <c r="J19" s="4" t="s">
        <v>49</v>
      </c>
      <c r="K19" s="4"/>
      <c r="L19" s="9">
        <v>56.26</v>
      </c>
      <c r="M19" s="4" t="s">
        <v>49</v>
      </c>
      <c r="N19" s="4" t="s">
        <v>98</v>
      </c>
      <c r="O19" s="4" t="s">
        <v>93</v>
      </c>
      <c r="P19" s="4" t="s">
        <v>94</v>
      </c>
      <c r="Q19" s="4" t="s">
        <v>54</v>
      </c>
      <c r="R19" s="4" t="s">
        <v>55</v>
      </c>
      <c r="S19" s="4" t="s">
        <v>56</v>
      </c>
      <c r="T19" s="4">
        <v>6</v>
      </c>
      <c r="U19" s="4" t="s">
        <v>57</v>
      </c>
      <c r="V19" s="4">
        <v>97459</v>
      </c>
      <c r="W19" s="4" t="s">
        <v>58</v>
      </c>
      <c r="X19" s="4">
        <v>102936168</v>
      </c>
      <c r="Y19" s="4" t="s">
        <v>59</v>
      </c>
      <c r="Z19" s="4" t="s">
        <v>55</v>
      </c>
      <c r="AA19" s="4" t="s">
        <v>96</v>
      </c>
      <c r="AB19" s="4" t="s">
        <v>61</v>
      </c>
      <c r="AC19" s="4" t="s">
        <v>73</v>
      </c>
      <c r="AD19" s="4" t="s">
        <v>62</v>
      </c>
      <c r="AE19" s="4" t="s">
        <v>55</v>
      </c>
      <c r="AF19" s="4" t="s">
        <v>55</v>
      </c>
      <c r="AG19" s="4" t="s">
        <v>97</v>
      </c>
      <c r="AH19" s="4">
        <v>0</v>
      </c>
      <c r="AI19" s="4" t="s">
        <v>64</v>
      </c>
      <c r="AJ19" s="4" t="s">
        <v>49</v>
      </c>
      <c r="AK19" s="5">
        <v>43893</v>
      </c>
      <c r="AL19" s="6">
        <v>43808</v>
      </c>
      <c r="AM19" s="4"/>
      <c r="AN19" s="4">
        <v>0</v>
      </c>
      <c r="AO19" s="4"/>
      <c r="AP19" s="9">
        <v>56.26</v>
      </c>
      <c r="AQ19" s="9">
        <v>0</v>
      </c>
      <c r="AR19" s="9">
        <v>56.26</v>
      </c>
      <c r="AS19" s="9">
        <v>0</v>
      </c>
      <c r="AT19" s="4" t="s">
        <v>49</v>
      </c>
    </row>
    <row r="20" spans="1:46" ht="105" hidden="1" x14ac:dyDescent="0.25">
      <c r="A20" s="4">
        <v>30297154</v>
      </c>
      <c r="B20" s="4" t="str">
        <f>""</f>
        <v/>
      </c>
      <c r="C20" s="4" t="str">
        <f>"170400940001"</f>
        <v>170400940001</v>
      </c>
      <c r="D20" s="4">
        <v>7</v>
      </c>
      <c r="E20" s="4" t="s">
        <v>47</v>
      </c>
      <c r="F20" s="4" t="s">
        <v>99</v>
      </c>
      <c r="G20" s="4" t="str">
        <f>"30297154"</f>
        <v>30297154</v>
      </c>
      <c r="H20" s="4" t="str">
        <f>"CAFETERA 40515/ 42 TAZAS / PESO: 1 kilo y 815 gramos."</f>
        <v>CAFETERA 40515/ 42 TAZAS / PESO: 1 kilo y 815 gramos.</v>
      </c>
      <c r="I20" s="4" t="str">
        <f>"HAMILTON BEACH / 47,2 x 29,2 x 29,2 cm. (Alto x Largo x Ancho)."</f>
        <v>HAMILTON BEACH / 47,2 x 29,2 x 29,2 cm. (Alto x Largo x Ancho).</v>
      </c>
      <c r="J20" s="4" t="s">
        <v>49</v>
      </c>
      <c r="K20" s="4"/>
      <c r="L20" s="9">
        <v>64</v>
      </c>
      <c r="M20" s="4" t="s">
        <v>49</v>
      </c>
      <c r="N20" s="4" t="s">
        <v>100</v>
      </c>
      <c r="O20" s="4" t="s">
        <v>101</v>
      </c>
      <c r="P20" s="4" t="s">
        <v>102</v>
      </c>
      <c r="Q20" s="4" t="s">
        <v>54</v>
      </c>
      <c r="R20" s="4" t="s">
        <v>55</v>
      </c>
      <c r="S20" s="4" t="s">
        <v>56</v>
      </c>
      <c r="T20" s="4">
        <v>6</v>
      </c>
      <c r="U20" s="4" t="s">
        <v>57</v>
      </c>
      <c r="V20" s="4">
        <v>97459</v>
      </c>
      <c r="W20" s="4" t="s">
        <v>58</v>
      </c>
      <c r="X20" s="4">
        <v>1717662512</v>
      </c>
      <c r="Y20" s="4" t="s">
        <v>71</v>
      </c>
      <c r="Z20" s="4" t="s">
        <v>55</v>
      </c>
      <c r="AA20" s="4" t="s">
        <v>96</v>
      </c>
      <c r="AB20" s="4" t="s">
        <v>61</v>
      </c>
      <c r="AC20" s="4" t="s">
        <v>73</v>
      </c>
      <c r="AD20" s="4" t="s">
        <v>62</v>
      </c>
      <c r="AE20" s="4" t="s">
        <v>55</v>
      </c>
      <c r="AF20" s="4" t="s">
        <v>55</v>
      </c>
      <c r="AG20" s="4" t="s">
        <v>103</v>
      </c>
      <c r="AH20" s="4">
        <v>0</v>
      </c>
      <c r="AI20" s="4" t="s">
        <v>64</v>
      </c>
      <c r="AJ20" s="4" t="s">
        <v>49</v>
      </c>
      <c r="AK20" s="5">
        <v>43822</v>
      </c>
      <c r="AL20" s="6">
        <v>42926</v>
      </c>
      <c r="AM20" s="4"/>
      <c r="AN20" s="4">
        <v>0</v>
      </c>
      <c r="AO20" s="4"/>
      <c r="AP20" s="9">
        <v>64</v>
      </c>
      <c r="AQ20" s="9">
        <v>0</v>
      </c>
      <c r="AR20" s="9">
        <v>64</v>
      </c>
      <c r="AS20" s="9">
        <v>0</v>
      </c>
      <c r="AT20" s="4" t="s">
        <v>49</v>
      </c>
    </row>
    <row r="21" spans="1:46" ht="90" hidden="1" x14ac:dyDescent="0.25">
      <c r="A21" s="4">
        <v>30301684</v>
      </c>
      <c r="B21" s="4" t="str">
        <f>""</f>
        <v/>
      </c>
      <c r="C21" s="4" t="str">
        <f>"170300510001"</f>
        <v>170300510001</v>
      </c>
      <c r="D21" s="4">
        <v>8</v>
      </c>
      <c r="E21" s="4" t="s">
        <v>47</v>
      </c>
      <c r="F21" s="4" t="s">
        <v>104</v>
      </c>
      <c r="G21" s="4" t="str">
        <f>"30301684"</f>
        <v>30301684</v>
      </c>
      <c r="H21" s="4" t="str">
        <f>"PIZARRA LIQUIDA CON POEDESTAL 200 CMM X 120CMM "</f>
        <v xml:space="preserve">PIZARRA LIQUIDA CON POEDESTAL 200 CMM X 120CMM </v>
      </c>
      <c r="I21" s="4" t="str">
        <f>"S/M "</f>
        <v xml:space="preserve">S/M </v>
      </c>
      <c r="J21" s="4" t="s">
        <v>49</v>
      </c>
      <c r="K21" s="4"/>
      <c r="L21" s="9">
        <v>129.96</v>
      </c>
      <c r="M21" s="4" t="s">
        <v>49</v>
      </c>
      <c r="N21" s="4" t="s">
        <v>106</v>
      </c>
      <c r="O21" s="4" t="s">
        <v>107</v>
      </c>
      <c r="P21" s="4" t="s">
        <v>108</v>
      </c>
      <c r="Q21" s="4" t="s">
        <v>54</v>
      </c>
      <c r="R21" s="4" t="s">
        <v>55</v>
      </c>
      <c r="S21" s="4" t="s">
        <v>56</v>
      </c>
      <c r="T21" s="4">
        <v>6</v>
      </c>
      <c r="U21" s="4" t="s">
        <v>57</v>
      </c>
      <c r="V21" s="4">
        <v>97459</v>
      </c>
      <c r="W21" s="4" t="s">
        <v>58</v>
      </c>
      <c r="X21" s="4">
        <v>1719443135</v>
      </c>
      <c r="Y21" s="4" t="s">
        <v>109</v>
      </c>
      <c r="Z21" s="4" t="s">
        <v>55</v>
      </c>
      <c r="AA21" s="4" t="s">
        <v>96</v>
      </c>
      <c r="AB21" s="4" t="s">
        <v>61</v>
      </c>
      <c r="AC21" s="4" t="s">
        <v>73</v>
      </c>
      <c r="AD21" s="4" t="s">
        <v>62</v>
      </c>
      <c r="AE21" s="4" t="s">
        <v>55</v>
      </c>
      <c r="AF21" s="4" t="s">
        <v>55</v>
      </c>
      <c r="AG21" s="4" t="s">
        <v>110</v>
      </c>
      <c r="AH21" s="4">
        <v>0</v>
      </c>
      <c r="AI21" s="4" t="s">
        <v>64</v>
      </c>
      <c r="AJ21" s="4" t="s">
        <v>49</v>
      </c>
      <c r="AK21" s="5">
        <v>43823</v>
      </c>
      <c r="AL21" s="6">
        <v>42878</v>
      </c>
      <c r="AM21" s="4"/>
      <c r="AN21" s="4">
        <v>0</v>
      </c>
      <c r="AO21" s="4"/>
      <c r="AP21" s="9">
        <v>129.96</v>
      </c>
      <c r="AQ21" s="9">
        <v>0</v>
      </c>
      <c r="AR21" s="9">
        <v>129.96</v>
      </c>
      <c r="AS21" s="9">
        <v>0</v>
      </c>
      <c r="AT21" s="4" t="s">
        <v>49</v>
      </c>
    </row>
    <row r="22" spans="1:46" ht="60" x14ac:dyDescent="0.25">
      <c r="A22" s="4">
        <v>40589932</v>
      </c>
      <c r="B22" s="4" t="str">
        <f>""</f>
        <v/>
      </c>
      <c r="C22" s="4" t="str">
        <f>"170400960001"</f>
        <v>170400960001</v>
      </c>
      <c r="D22" s="4">
        <v>92</v>
      </c>
      <c r="E22" s="4" t="s">
        <v>47</v>
      </c>
      <c r="F22" s="4" t="s">
        <v>111</v>
      </c>
      <c r="G22" s="4" t="str">
        <f>"S/N"</f>
        <v>S/N</v>
      </c>
      <c r="H22" s="4" t="str">
        <f>"6662A"</f>
        <v>6662A</v>
      </c>
      <c r="I22" s="4" t="str">
        <f>"WEIFENG"</f>
        <v>WEIFENG</v>
      </c>
      <c r="J22" s="4"/>
      <c r="K22" s="4"/>
      <c r="L22" s="9">
        <v>55.55</v>
      </c>
      <c r="M22" s="4"/>
      <c r="N22" s="4" t="s">
        <v>113</v>
      </c>
      <c r="O22" s="4" t="s">
        <v>114</v>
      </c>
      <c r="P22" s="4" t="s">
        <v>115</v>
      </c>
      <c r="Q22" s="4" t="s">
        <v>54</v>
      </c>
      <c r="R22" s="4" t="s">
        <v>55</v>
      </c>
      <c r="S22" s="4" t="s">
        <v>56</v>
      </c>
      <c r="T22" s="4">
        <v>6</v>
      </c>
      <c r="U22" s="4" t="s">
        <v>57</v>
      </c>
      <c r="V22" s="4">
        <v>97459</v>
      </c>
      <c r="W22" s="4" t="s">
        <v>58</v>
      </c>
      <c r="X22" s="4">
        <v>1717662512</v>
      </c>
      <c r="Y22" s="4" t="s">
        <v>71</v>
      </c>
      <c r="Z22" s="4" t="s">
        <v>55</v>
      </c>
      <c r="AA22" s="4" t="s">
        <v>116</v>
      </c>
      <c r="AB22" s="4" t="s">
        <v>61</v>
      </c>
      <c r="AC22" s="4" t="s">
        <v>73</v>
      </c>
      <c r="AD22" s="4" t="s">
        <v>62</v>
      </c>
      <c r="AE22" s="4" t="s">
        <v>55</v>
      </c>
      <c r="AF22" s="4" t="s">
        <v>55</v>
      </c>
      <c r="AG22" s="4" t="s">
        <v>117</v>
      </c>
      <c r="AH22" s="4">
        <v>0</v>
      </c>
      <c r="AI22" s="4" t="s">
        <v>64</v>
      </c>
      <c r="AJ22" s="4" t="s">
        <v>49</v>
      </c>
      <c r="AK22" s="5">
        <v>45973</v>
      </c>
      <c r="AL22" s="6">
        <v>45973</v>
      </c>
      <c r="AM22" s="4"/>
      <c r="AN22" s="4">
        <v>0</v>
      </c>
      <c r="AO22" s="4"/>
      <c r="AP22" s="9">
        <v>55.55</v>
      </c>
      <c r="AQ22" s="9">
        <v>0</v>
      </c>
      <c r="AR22" s="9">
        <v>55.55</v>
      </c>
      <c r="AS22" s="9">
        <v>0</v>
      </c>
      <c r="AT22" s="4" t="s">
        <v>49</v>
      </c>
    </row>
    <row r="23" spans="1:46" ht="60" x14ac:dyDescent="0.25">
      <c r="A23" s="4">
        <v>40590659</v>
      </c>
      <c r="B23" s="4" t="str">
        <f>""</f>
        <v/>
      </c>
      <c r="C23" s="4" t="str">
        <f>"170400700001"</f>
        <v>170400700001</v>
      </c>
      <c r="D23" s="4">
        <v>95</v>
      </c>
      <c r="E23" s="4" t="s">
        <v>47</v>
      </c>
      <c r="F23" s="4" t="s">
        <v>118</v>
      </c>
      <c r="G23" s="4" t="str">
        <f>"S/N."</f>
        <v>S/N.</v>
      </c>
      <c r="H23" s="4" t="str">
        <f>"BY-WM4 PRO"</f>
        <v>BY-WM4 PRO</v>
      </c>
      <c r="I23" s="4" t="str">
        <f>"BOYA"</f>
        <v>BOYA</v>
      </c>
      <c r="J23" s="4"/>
      <c r="K23" s="4"/>
      <c r="L23" s="9">
        <v>138</v>
      </c>
      <c r="M23" s="4"/>
      <c r="N23" s="4" t="s">
        <v>113</v>
      </c>
      <c r="O23" s="4" t="s">
        <v>114</v>
      </c>
      <c r="P23" s="4" t="s">
        <v>119</v>
      </c>
      <c r="Q23" s="4" t="s">
        <v>54</v>
      </c>
      <c r="R23" s="4" t="s">
        <v>55</v>
      </c>
      <c r="S23" s="4" t="s">
        <v>56</v>
      </c>
      <c r="T23" s="4">
        <v>6</v>
      </c>
      <c r="U23" s="4" t="s">
        <v>57</v>
      </c>
      <c r="V23" s="4">
        <v>97459</v>
      </c>
      <c r="W23" s="4" t="s">
        <v>58</v>
      </c>
      <c r="X23" s="4">
        <v>1717662512</v>
      </c>
      <c r="Y23" s="4" t="s">
        <v>71</v>
      </c>
      <c r="Z23" s="4" t="s">
        <v>55</v>
      </c>
      <c r="AA23" s="4" t="s">
        <v>116</v>
      </c>
      <c r="AB23" s="4" t="s">
        <v>61</v>
      </c>
      <c r="AC23" s="4" t="s">
        <v>73</v>
      </c>
      <c r="AD23" s="4" t="s">
        <v>62</v>
      </c>
      <c r="AE23" s="4" t="s">
        <v>55</v>
      </c>
      <c r="AF23" s="4" t="s">
        <v>55</v>
      </c>
      <c r="AG23" s="4" t="s">
        <v>120</v>
      </c>
      <c r="AH23" s="4">
        <v>0</v>
      </c>
      <c r="AI23" s="4" t="s">
        <v>64</v>
      </c>
      <c r="AJ23" s="4" t="s">
        <v>49</v>
      </c>
      <c r="AK23" s="5">
        <v>45973</v>
      </c>
      <c r="AL23" s="6">
        <v>45973</v>
      </c>
      <c r="AM23" s="4"/>
      <c r="AN23" s="4">
        <v>0</v>
      </c>
      <c r="AO23" s="4"/>
      <c r="AP23" s="9">
        <v>138</v>
      </c>
      <c r="AQ23" s="9">
        <v>0</v>
      </c>
      <c r="AR23" s="9">
        <v>138</v>
      </c>
      <c r="AS23" s="9">
        <v>0</v>
      </c>
      <c r="AT23" s="4" t="s">
        <v>49</v>
      </c>
    </row>
    <row r="24" spans="1:46" ht="60" x14ac:dyDescent="0.25">
      <c r="A24" s="4">
        <v>40589956</v>
      </c>
      <c r="B24" s="4" t="str">
        <f>""</f>
        <v/>
      </c>
      <c r="C24" s="4" t="str">
        <f>"170400700001"</f>
        <v>170400700001</v>
      </c>
      <c r="D24" s="4">
        <v>93</v>
      </c>
      <c r="E24" s="4" t="s">
        <v>47</v>
      </c>
      <c r="F24" s="4" t="s">
        <v>118</v>
      </c>
      <c r="G24" s="4" t="str">
        <f>"BY2009860280"</f>
        <v>BY2009860280</v>
      </c>
      <c r="H24" s="4" t="str">
        <f>"LAVALIER BY-M1"</f>
        <v>LAVALIER BY-M1</v>
      </c>
      <c r="I24" s="4" t="str">
        <f>"BOYA"</f>
        <v>BOYA</v>
      </c>
      <c r="J24" s="4"/>
      <c r="K24" s="4"/>
      <c r="L24" s="9">
        <v>33</v>
      </c>
      <c r="M24" s="4"/>
      <c r="N24" s="4" t="s">
        <v>113</v>
      </c>
      <c r="O24" s="4" t="s">
        <v>114</v>
      </c>
      <c r="P24" s="4" t="s">
        <v>121</v>
      </c>
      <c r="Q24" s="4" t="s">
        <v>54</v>
      </c>
      <c r="R24" s="4" t="s">
        <v>55</v>
      </c>
      <c r="S24" s="4" t="s">
        <v>56</v>
      </c>
      <c r="T24" s="4">
        <v>6</v>
      </c>
      <c r="U24" s="4" t="s">
        <v>57</v>
      </c>
      <c r="V24" s="4">
        <v>97459</v>
      </c>
      <c r="W24" s="4" t="s">
        <v>58</v>
      </c>
      <c r="X24" s="4">
        <v>1717662512</v>
      </c>
      <c r="Y24" s="4" t="s">
        <v>71</v>
      </c>
      <c r="Z24" s="4" t="s">
        <v>55</v>
      </c>
      <c r="AA24" s="4" t="s">
        <v>116</v>
      </c>
      <c r="AB24" s="4" t="s">
        <v>61</v>
      </c>
      <c r="AC24" s="4" t="s">
        <v>73</v>
      </c>
      <c r="AD24" s="4" t="s">
        <v>62</v>
      </c>
      <c r="AE24" s="4" t="s">
        <v>55</v>
      </c>
      <c r="AF24" s="4" t="s">
        <v>55</v>
      </c>
      <c r="AG24" s="4" t="s">
        <v>122</v>
      </c>
      <c r="AH24" s="4">
        <v>0</v>
      </c>
      <c r="AI24" s="4" t="s">
        <v>64</v>
      </c>
      <c r="AJ24" s="4" t="s">
        <v>49</v>
      </c>
      <c r="AK24" s="5">
        <v>45973</v>
      </c>
      <c r="AL24" s="6">
        <v>45973</v>
      </c>
      <c r="AM24" s="4"/>
      <c r="AN24" s="4">
        <v>0</v>
      </c>
      <c r="AO24" s="4"/>
      <c r="AP24" s="9">
        <v>33</v>
      </c>
      <c r="AQ24" s="9">
        <v>0</v>
      </c>
      <c r="AR24" s="9">
        <v>33</v>
      </c>
      <c r="AS24" s="9">
        <v>0</v>
      </c>
      <c r="AT24" s="4" t="s">
        <v>49</v>
      </c>
    </row>
    <row r="25" spans="1:46" ht="60" x14ac:dyDescent="0.25">
      <c r="A25" s="4">
        <v>40589960</v>
      </c>
      <c r="B25" s="4" t="str">
        <f>""</f>
        <v/>
      </c>
      <c r="C25" s="4" t="str">
        <f>"170400700001"</f>
        <v>170400700001</v>
      </c>
      <c r="D25" s="4">
        <v>94</v>
      </c>
      <c r="E25" s="4" t="s">
        <v>47</v>
      </c>
      <c r="F25" s="4" t="s">
        <v>118</v>
      </c>
      <c r="G25" s="4" t="str">
        <f>"BY2009864595"</f>
        <v>BY2009864595</v>
      </c>
      <c r="H25" s="4" t="str">
        <f>"LAVALIER BY-M1"</f>
        <v>LAVALIER BY-M1</v>
      </c>
      <c r="I25" s="4" t="str">
        <f>"BOYA"</f>
        <v>BOYA</v>
      </c>
      <c r="J25" s="4"/>
      <c r="K25" s="4"/>
      <c r="L25" s="9">
        <v>33</v>
      </c>
      <c r="M25" s="4"/>
      <c r="N25" s="4" t="s">
        <v>113</v>
      </c>
      <c r="O25" s="4" t="s">
        <v>114</v>
      </c>
      <c r="P25" s="4" t="s">
        <v>121</v>
      </c>
      <c r="Q25" s="4" t="s">
        <v>54</v>
      </c>
      <c r="R25" s="4" t="s">
        <v>55</v>
      </c>
      <c r="S25" s="4" t="s">
        <v>56</v>
      </c>
      <c r="T25" s="4">
        <v>6</v>
      </c>
      <c r="U25" s="4" t="s">
        <v>57</v>
      </c>
      <c r="V25" s="4">
        <v>97459</v>
      </c>
      <c r="W25" s="4" t="s">
        <v>58</v>
      </c>
      <c r="X25" s="4">
        <v>1717662512</v>
      </c>
      <c r="Y25" s="4" t="s">
        <v>71</v>
      </c>
      <c r="Z25" s="4" t="s">
        <v>55</v>
      </c>
      <c r="AA25" s="4" t="s">
        <v>116</v>
      </c>
      <c r="AB25" s="4" t="s">
        <v>61</v>
      </c>
      <c r="AC25" s="4" t="s">
        <v>73</v>
      </c>
      <c r="AD25" s="4" t="s">
        <v>62</v>
      </c>
      <c r="AE25" s="4" t="s">
        <v>55</v>
      </c>
      <c r="AF25" s="4" t="s">
        <v>55</v>
      </c>
      <c r="AG25" s="4" t="s">
        <v>123</v>
      </c>
      <c r="AH25" s="4">
        <v>0</v>
      </c>
      <c r="AI25" s="4" t="s">
        <v>64</v>
      </c>
      <c r="AJ25" s="4" t="s">
        <v>49</v>
      </c>
      <c r="AK25" s="5">
        <v>45973</v>
      </c>
      <c r="AL25" s="6">
        <v>45973</v>
      </c>
      <c r="AM25" s="4"/>
      <c r="AN25" s="4">
        <v>0</v>
      </c>
      <c r="AO25" s="4"/>
      <c r="AP25" s="9">
        <v>33</v>
      </c>
      <c r="AQ25" s="9">
        <v>0</v>
      </c>
      <c r="AR25" s="9">
        <v>33</v>
      </c>
      <c r="AS25" s="9">
        <v>0</v>
      </c>
      <c r="AT25" s="4" t="s">
        <v>49</v>
      </c>
    </row>
    <row r="26" spans="1:46" ht="60" x14ac:dyDescent="0.25">
      <c r="A26" s="4">
        <v>40589867</v>
      </c>
      <c r="B26" s="4" t="str">
        <f>""</f>
        <v/>
      </c>
      <c r="C26" s="4" t="str">
        <f>"170400370001"</f>
        <v>170400370001</v>
      </c>
      <c r="D26" s="4">
        <v>90</v>
      </c>
      <c r="E26" s="4" t="s">
        <v>47</v>
      </c>
      <c r="F26" s="4" t="s">
        <v>124</v>
      </c>
      <c r="G26" s="4" t="str">
        <f>"302073006547"</f>
        <v>302073006547</v>
      </c>
      <c r="H26" s="4" t="str">
        <f>"REBEL SL3"</f>
        <v>REBEL SL3</v>
      </c>
      <c r="I26" s="4" t="str">
        <f>"CANON"</f>
        <v>CANON</v>
      </c>
      <c r="J26" s="4"/>
      <c r="K26" s="4"/>
      <c r="L26" s="9">
        <v>900</v>
      </c>
      <c r="M26" s="4"/>
      <c r="N26" s="4" t="s">
        <v>113</v>
      </c>
      <c r="O26" s="4" t="s">
        <v>114</v>
      </c>
      <c r="P26" s="4" t="s">
        <v>125</v>
      </c>
      <c r="Q26" s="4" t="s">
        <v>54</v>
      </c>
      <c r="R26" s="4" t="s">
        <v>55</v>
      </c>
      <c r="S26" s="4" t="s">
        <v>56</v>
      </c>
      <c r="T26" s="4">
        <v>6</v>
      </c>
      <c r="U26" s="4" t="s">
        <v>57</v>
      </c>
      <c r="V26" s="4">
        <v>97459</v>
      </c>
      <c r="W26" s="4" t="s">
        <v>58</v>
      </c>
      <c r="X26" s="4">
        <v>1717662512</v>
      </c>
      <c r="Y26" s="4" t="s">
        <v>71</v>
      </c>
      <c r="Z26" s="4" t="s">
        <v>55</v>
      </c>
      <c r="AA26" s="4" t="s">
        <v>116</v>
      </c>
      <c r="AB26" s="4" t="s">
        <v>61</v>
      </c>
      <c r="AC26" s="4" t="s">
        <v>73</v>
      </c>
      <c r="AD26" s="4" t="s">
        <v>62</v>
      </c>
      <c r="AE26" s="4" t="s">
        <v>55</v>
      </c>
      <c r="AF26" s="4" t="s">
        <v>55</v>
      </c>
      <c r="AG26" s="4" t="s">
        <v>126</v>
      </c>
      <c r="AH26" s="4">
        <v>0</v>
      </c>
      <c r="AI26" s="4" t="s">
        <v>64</v>
      </c>
      <c r="AJ26" s="4" t="s">
        <v>49</v>
      </c>
      <c r="AK26" s="5">
        <v>45973</v>
      </c>
      <c r="AL26" s="6">
        <v>45973</v>
      </c>
      <c r="AM26" s="4"/>
      <c r="AN26" s="4">
        <v>0</v>
      </c>
      <c r="AO26" s="4"/>
      <c r="AP26" s="9">
        <v>900</v>
      </c>
      <c r="AQ26" s="9">
        <v>0</v>
      </c>
      <c r="AR26" s="9">
        <v>900</v>
      </c>
      <c r="AS26" s="9">
        <v>0</v>
      </c>
      <c r="AT26" s="4" t="s">
        <v>49</v>
      </c>
    </row>
    <row r="27" spans="1:46" ht="75" hidden="1" x14ac:dyDescent="0.25">
      <c r="A27" s="4">
        <v>40875419</v>
      </c>
      <c r="B27" s="4" t="str">
        <f>""</f>
        <v/>
      </c>
      <c r="C27" s="4" t="str">
        <f t="shared" ref="C27:C36" si="3">"170700080001"</f>
        <v>170700080001</v>
      </c>
      <c r="D27" s="4">
        <v>139</v>
      </c>
      <c r="E27" s="4" t="s">
        <v>47</v>
      </c>
      <c r="F27" s="4" t="s">
        <v>127</v>
      </c>
      <c r="G27" s="4" t="str">
        <f>"50026B7283AFBCFF"</f>
        <v>50026B7283AFBCFF</v>
      </c>
      <c r="H27" s="4" t="str">
        <f t="shared" ref="H27:H36" si="4">"Disco Duro SSD PCIe NVMe, 1TB"</f>
        <v>Disco Duro SSD PCIe NVMe, 1TB</v>
      </c>
      <c r="I27" s="4" t="str">
        <f t="shared" ref="I27:I36" si="5">"KINGSTON"</f>
        <v>KINGSTON</v>
      </c>
      <c r="J27" s="4"/>
      <c r="K27" s="4"/>
      <c r="L27" s="9">
        <v>90</v>
      </c>
      <c r="M27" s="4"/>
      <c r="N27" s="4" t="s">
        <v>128</v>
      </c>
      <c r="O27" s="4" t="s">
        <v>69</v>
      </c>
      <c r="P27" s="4" t="s">
        <v>129</v>
      </c>
      <c r="Q27" s="4" t="s">
        <v>54</v>
      </c>
      <c r="R27" s="4" t="s">
        <v>55</v>
      </c>
      <c r="S27" s="4" t="s">
        <v>56</v>
      </c>
      <c r="T27" s="4">
        <v>6</v>
      </c>
      <c r="U27" s="4" t="s">
        <v>57</v>
      </c>
      <c r="V27" s="4">
        <v>97459</v>
      </c>
      <c r="W27" s="4" t="s">
        <v>58</v>
      </c>
      <c r="X27" s="4">
        <v>401265012</v>
      </c>
      <c r="Y27" s="4" t="s">
        <v>130</v>
      </c>
      <c r="Z27" s="4" t="s">
        <v>55</v>
      </c>
      <c r="AA27" s="4" t="s">
        <v>60</v>
      </c>
      <c r="AB27" s="4" t="s">
        <v>61</v>
      </c>
      <c r="AC27" s="4">
        <v>453</v>
      </c>
      <c r="AD27" s="4" t="s">
        <v>62</v>
      </c>
      <c r="AE27" s="4" t="s">
        <v>55</v>
      </c>
      <c r="AF27" s="4" t="s">
        <v>55</v>
      </c>
      <c r="AG27" s="4" t="s">
        <v>131</v>
      </c>
      <c r="AH27" s="4">
        <v>531407</v>
      </c>
      <c r="AI27" s="4" t="s">
        <v>64</v>
      </c>
      <c r="AJ27" s="4" t="s">
        <v>49</v>
      </c>
      <c r="AK27" s="5">
        <v>46003</v>
      </c>
      <c r="AL27" s="6">
        <v>46003</v>
      </c>
      <c r="AM27" s="6">
        <v>46003</v>
      </c>
      <c r="AN27" s="4">
        <v>0</v>
      </c>
      <c r="AO27" s="4"/>
      <c r="AP27" s="9">
        <v>90</v>
      </c>
      <c r="AQ27" s="9">
        <v>0</v>
      </c>
      <c r="AR27" s="9">
        <v>90</v>
      </c>
      <c r="AS27" s="9">
        <v>0</v>
      </c>
      <c r="AT27" s="4" t="s">
        <v>49</v>
      </c>
    </row>
    <row r="28" spans="1:46" ht="75" hidden="1" x14ac:dyDescent="0.25">
      <c r="A28" s="4">
        <v>40875420</v>
      </c>
      <c r="B28" s="4" t="str">
        <f>""</f>
        <v/>
      </c>
      <c r="C28" s="4" t="str">
        <f t="shared" si="3"/>
        <v>170700080001</v>
      </c>
      <c r="D28" s="4">
        <v>139</v>
      </c>
      <c r="E28" s="4" t="s">
        <v>47</v>
      </c>
      <c r="F28" s="4" t="s">
        <v>127</v>
      </c>
      <c r="G28" s="4" t="str">
        <f>"50026B7283AFBDA9"</f>
        <v>50026B7283AFBDA9</v>
      </c>
      <c r="H28" s="4" t="str">
        <f t="shared" si="4"/>
        <v>Disco Duro SSD PCIe NVMe, 1TB</v>
      </c>
      <c r="I28" s="4" t="str">
        <f t="shared" si="5"/>
        <v>KINGSTON</v>
      </c>
      <c r="J28" s="4"/>
      <c r="K28" s="4"/>
      <c r="L28" s="9">
        <v>90</v>
      </c>
      <c r="M28" s="4"/>
      <c r="N28" s="4" t="s">
        <v>128</v>
      </c>
      <c r="O28" s="4" t="s">
        <v>69</v>
      </c>
      <c r="P28" s="4" t="s">
        <v>129</v>
      </c>
      <c r="Q28" s="4" t="s">
        <v>54</v>
      </c>
      <c r="R28" s="4" t="s">
        <v>55</v>
      </c>
      <c r="S28" s="4" t="s">
        <v>56</v>
      </c>
      <c r="T28" s="4">
        <v>6</v>
      </c>
      <c r="U28" s="4" t="s">
        <v>57</v>
      </c>
      <c r="V28" s="4">
        <v>97459</v>
      </c>
      <c r="W28" s="4" t="s">
        <v>58</v>
      </c>
      <c r="X28" s="4">
        <v>401265012</v>
      </c>
      <c r="Y28" s="4" t="s">
        <v>130</v>
      </c>
      <c r="Z28" s="4" t="s">
        <v>55</v>
      </c>
      <c r="AA28" s="4" t="s">
        <v>60</v>
      </c>
      <c r="AB28" s="4" t="s">
        <v>61</v>
      </c>
      <c r="AC28" s="4">
        <v>453</v>
      </c>
      <c r="AD28" s="4" t="s">
        <v>62</v>
      </c>
      <c r="AE28" s="4" t="s">
        <v>55</v>
      </c>
      <c r="AF28" s="4" t="s">
        <v>55</v>
      </c>
      <c r="AG28" s="4" t="s">
        <v>131</v>
      </c>
      <c r="AH28" s="4">
        <v>531407</v>
      </c>
      <c r="AI28" s="4" t="s">
        <v>64</v>
      </c>
      <c r="AJ28" s="4" t="s">
        <v>49</v>
      </c>
      <c r="AK28" s="5">
        <v>46003</v>
      </c>
      <c r="AL28" s="6">
        <v>46003</v>
      </c>
      <c r="AM28" s="6">
        <v>46003</v>
      </c>
      <c r="AN28" s="4">
        <v>0</v>
      </c>
      <c r="AO28" s="4"/>
      <c r="AP28" s="9">
        <v>90</v>
      </c>
      <c r="AQ28" s="9">
        <v>0</v>
      </c>
      <c r="AR28" s="9">
        <v>90</v>
      </c>
      <c r="AS28" s="9">
        <v>0</v>
      </c>
      <c r="AT28" s="4" t="s">
        <v>49</v>
      </c>
    </row>
    <row r="29" spans="1:46" ht="75" hidden="1" x14ac:dyDescent="0.25">
      <c r="A29" s="4">
        <v>40875421</v>
      </c>
      <c r="B29" s="4" t="str">
        <f>""</f>
        <v/>
      </c>
      <c r="C29" s="4" t="str">
        <f t="shared" si="3"/>
        <v>170700080001</v>
      </c>
      <c r="D29" s="4">
        <v>139</v>
      </c>
      <c r="E29" s="4" t="s">
        <v>47</v>
      </c>
      <c r="F29" s="4" t="s">
        <v>127</v>
      </c>
      <c r="G29" s="4" t="str">
        <f>"50026B7283AFBD19"</f>
        <v>50026B7283AFBD19</v>
      </c>
      <c r="H29" s="4" t="str">
        <f t="shared" si="4"/>
        <v>Disco Duro SSD PCIe NVMe, 1TB</v>
      </c>
      <c r="I29" s="4" t="str">
        <f t="shared" si="5"/>
        <v>KINGSTON</v>
      </c>
      <c r="J29" s="4"/>
      <c r="K29" s="4"/>
      <c r="L29" s="9">
        <v>90</v>
      </c>
      <c r="M29" s="4"/>
      <c r="N29" s="4" t="s">
        <v>128</v>
      </c>
      <c r="O29" s="4" t="s">
        <v>69</v>
      </c>
      <c r="P29" s="4" t="s">
        <v>129</v>
      </c>
      <c r="Q29" s="4" t="s">
        <v>54</v>
      </c>
      <c r="R29" s="4" t="s">
        <v>55</v>
      </c>
      <c r="S29" s="4" t="s">
        <v>56</v>
      </c>
      <c r="T29" s="4">
        <v>6</v>
      </c>
      <c r="U29" s="4" t="s">
        <v>57</v>
      </c>
      <c r="V29" s="4">
        <v>97459</v>
      </c>
      <c r="W29" s="4" t="s">
        <v>58</v>
      </c>
      <c r="X29" s="4">
        <v>401265012</v>
      </c>
      <c r="Y29" s="4" t="s">
        <v>130</v>
      </c>
      <c r="Z29" s="4" t="s">
        <v>55</v>
      </c>
      <c r="AA29" s="4" t="s">
        <v>60</v>
      </c>
      <c r="AB29" s="4" t="s">
        <v>61</v>
      </c>
      <c r="AC29" s="4">
        <v>453</v>
      </c>
      <c r="AD29" s="4" t="s">
        <v>62</v>
      </c>
      <c r="AE29" s="4" t="s">
        <v>55</v>
      </c>
      <c r="AF29" s="4" t="s">
        <v>55</v>
      </c>
      <c r="AG29" s="4" t="s">
        <v>131</v>
      </c>
      <c r="AH29" s="4">
        <v>531407</v>
      </c>
      <c r="AI29" s="4" t="s">
        <v>64</v>
      </c>
      <c r="AJ29" s="4" t="s">
        <v>49</v>
      </c>
      <c r="AK29" s="5">
        <v>46003</v>
      </c>
      <c r="AL29" s="6">
        <v>46003</v>
      </c>
      <c r="AM29" s="6">
        <v>46003</v>
      </c>
      <c r="AN29" s="4">
        <v>0</v>
      </c>
      <c r="AO29" s="4"/>
      <c r="AP29" s="9">
        <v>90</v>
      </c>
      <c r="AQ29" s="9">
        <v>0</v>
      </c>
      <c r="AR29" s="9">
        <v>90</v>
      </c>
      <c r="AS29" s="9">
        <v>0</v>
      </c>
      <c r="AT29" s="4" t="s">
        <v>49</v>
      </c>
    </row>
    <row r="30" spans="1:46" ht="75" hidden="1" x14ac:dyDescent="0.25">
      <c r="A30" s="4">
        <v>40875422</v>
      </c>
      <c r="B30" s="4" t="str">
        <f>""</f>
        <v/>
      </c>
      <c r="C30" s="4" t="str">
        <f t="shared" si="3"/>
        <v>170700080001</v>
      </c>
      <c r="D30" s="4">
        <v>139</v>
      </c>
      <c r="E30" s="4" t="s">
        <v>47</v>
      </c>
      <c r="F30" s="4" t="s">
        <v>127</v>
      </c>
      <c r="G30" s="4" t="str">
        <f>"50026B7283AFBD52"</f>
        <v>50026B7283AFBD52</v>
      </c>
      <c r="H30" s="4" t="str">
        <f t="shared" si="4"/>
        <v>Disco Duro SSD PCIe NVMe, 1TB</v>
      </c>
      <c r="I30" s="4" t="str">
        <f t="shared" si="5"/>
        <v>KINGSTON</v>
      </c>
      <c r="J30" s="4"/>
      <c r="K30" s="4"/>
      <c r="L30" s="9">
        <v>90</v>
      </c>
      <c r="M30" s="4"/>
      <c r="N30" s="4" t="s">
        <v>128</v>
      </c>
      <c r="O30" s="4" t="s">
        <v>69</v>
      </c>
      <c r="P30" s="4" t="s">
        <v>129</v>
      </c>
      <c r="Q30" s="4" t="s">
        <v>54</v>
      </c>
      <c r="R30" s="4" t="s">
        <v>55</v>
      </c>
      <c r="S30" s="4" t="s">
        <v>56</v>
      </c>
      <c r="T30" s="4">
        <v>6</v>
      </c>
      <c r="U30" s="4" t="s">
        <v>57</v>
      </c>
      <c r="V30" s="4">
        <v>97459</v>
      </c>
      <c r="W30" s="4" t="s">
        <v>58</v>
      </c>
      <c r="X30" s="4">
        <v>401265012</v>
      </c>
      <c r="Y30" s="4" t="s">
        <v>130</v>
      </c>
      <c r="Z30" s="4" t="s">
        <v>55</v>
      </c>
      <c r="AA30" s="4" t="s">
        <v>60</v>
      </c>
      <c r="AB30" s="4" t="s">
        <v>61</v>
      </c>
      <c r="AC30" s="4">
        <v>453</v>
      </c>
      <c r="AD30" s="4" t="s">
        <v>62</v>
      </c>
      <c r="AE30" s="4" t="s">
        <v>55</v>
      </c>
      <c r="AF30" s="4" t="s">
        <v>55</v>
      </c>
      <c r="AG30" s="4" t="s">
        <v>131</v>
      </c>
      <c r="AH30" s="4">
        <v>531407</v>
      </c>
      <c r="AI30" s="4" t="s">
        <v>64</v>
      </c>
      <c r="AJ30" s="4" t="s">
        <v>49</v>
      </c>
      <c r="AK30" s="5">
        <v>46003</v>
      </c>
      <c r="AL30" s="6">
        <v>46003</v>
      </c>
      <c r="AM30" s="6">
        <v>46003</v>
      </c>
      <c r="AN30" s="4">
        <v>0</v>
      </c>
      <c r="AO30" s="4"/>
      <c r="AP30" s="9">
        <v>90</v>
      </c>
      <c r="AQ30" s="9">
        <v>0</v>
      </c>
      <c r="AR30" s="9">
        <v>90</v>
      </c>
      <c r="AS30" s="9">
        <v>0</v>
      </c>
      <c r="AT30" s="4" t="s">
        <v>49</v>
      </c>
    </row>
    <row r="31" spans="1:46" ht="75" hidden="1" x14ac:dyDescent="0.25">
      <c r="A31" s="4">
        <v>40875423</v>
      </c>
      <c r="B31" s="4" t="str">
        <f>""</f>
        <v/>
      </c>
      <c r="C31" s="4" t="str">
        <f t="shared" si="3"/>
        <v>170700080001</v>
      </c>
      <c r="D31" s="4">
        <v>139</v>
      </c>
      <c r="E31" s="4" t="s">
        <v>47</v>
      </c>
      <c r="F31" s="4" t="s">
        <v>127</v>
      </c>
      <c r="G31" s="4" t="str">
        <f>"50026B7283AFBCFE"</f>
        <v>50026B7283AFBCFE</v>
      </c>
      <c r="H31" s="4" t="str">
        <f t="shared" si="4"/>
        <v>Disco Duro SSD PCIe NVMe, 1TB</v>
      </c>
      <c r="I31" s="4" t="str">
        <f t="shared" si="5"/>
        <v>KINGSTON</v>
      </c>
      <c r="J31" s="4"/>
      <c r="K31" s="4"/>
      <c r="L31" s="9">
        <v>90</v>
      </c>
      <c r="M31" s="4"/>
      <c r="N31" s="4" t="s">
        <v>128</v>
      </c>
      <c r="O31" s="4" t="s">
        <v>69</v>
      </c>
      <c r="P31" s="4" t="s">
        <v>129</v>
      </c>
      <c r="Q31" s="4" t="s">
        <v>54</v>
      </c>
      <c r="R31" s="4" t="s">
        <v>55</v>
      </c>
      <c r="S31" s="4" t="s">
        <v>56</v>
      </c>
      <c r="T31" s="4">
        <v>6</v>
      </c>
      <c r="U31" s="4" t="s">
        <v>57</v>
      </c>
      <c r="V31" s="4">
        <v>97459</v>
      </c>
      <c r="W31" s="4" t="s">
        <v>58</v>
      </c>
      <c r="X31" s="4">
        <v>401265012</v>
      </c>
      <c r="Y31" s="4" t="s">
        <v>130</v>
      </c>
      <c r="Z31" s="4" t="s">
        <v>55</v>
      </c>
      <c r="AA31" s="4" t="s">
        <v>60</v>
      </c>
      <c r="AB31" s="4" t="s">
        <v>61</v>
      </c>
      <c r="AC31" s="4">
        <v>453</v>
      </c>
      <c r="AD31" s="4" t="s">
        <v>62</v>
      </c>
      <c r="AE31" s="4" t="s">
        <v>55</v>
      </c>
      <c r="AF31" s="4" t="s">
        <v>55</v>
      </c>
      <c r="AG31" s="4" t="s">
        <v>131</v>
      </c>
      <c r="AH31" s="4">
        <v>531407</v>
      </c>
      <c r="AI31" s="4" t="s">
        <v>64</v>
      </c>
      <c r="AJ31" s="4" t="s">
        <v>49</v>
      </c>
      <c r="AK31" s="5">
        <v>46003</v>
      </c>
      <c r="AL31" s="6">
        <v>46003</v>
      </c>
      <c r="AM31" s="6">
        <v>46003</v>
      </c>
      <c r="AN31" s="4">
        <v>0</v>
      </c>
      <c r="AO31" s="4"/>
      <c r="AP31" s="9">
        <v>90</v>
      </c>
      <c r="AQ31" s="9">
        <v>0</v>
      </c>
      <c r="AR31" s="9">
        <v>90</v>
      </c>
      <c r="AS31" s="9">
        <v>0</v>
      </c>
      <c r="AT31" s="4" t="s">
        <v>49</v>
      </c>
    </row>
    <row r="32" spans="1:46" ht="75" hidden="1" x14ac:dyDescent="0.25">
      <c r="A32" s="4">
        <v>40875424</v>
      </c>
      <c r="B32" s="4" t="str">
        <f>""</f>
        <v/>
      </c>
      <c r="C32" s="4" t="str">
        <f t="shared" si="3"/>
        <v>170700080001</v>
      </c>
      <c r="D32" s="4">
        <v>139</v>
      </c>
      <c r="E32" s="4" t="s">
        <v>47</v>
      </c>
      <c r="F32" s="4" t="s">
        <v>127</v>
      </c>
      <c r="G32" s="4" t="str">
        <f>"50026B7283AFBD01"</f>
        <v>50026B7283AFBD01</v>
      </c>
      <c r="H32" s="4" t="str">
        <f t="shared" si="4"/>
        <v>Disco Duro SSD PCIe NVMe, 1TB</v>
      </c>
      <c r="I32" s="4" t="str">
        <f t="shared" si="5"/>
        <v>KINGSTON</v>
      </c>
      <c r="J32" s="4"/>
      <c r="K32" s="4"/>
      <c r="L32" s="9">
        <v>90</v>
      </c>
      <c r="M32" s="4"/>
      <c r="N32" s="4" t="s">
        <v>128</v>
      </c>
      <c r="O32" s="4" t="s">
        <v>69</v>
      </c>
      <c r="P32" s="4" t="s">
        <v>129</v>
      </c>
      <c r="Q32" s="4" t="s">
        <v>54</v>
      </c>
      <c r="R32" s="4" t="s">
        <v>55</v>
      </c>
      <c r="S32" s="4" t="s">
        <v>56</v>
      </c>
      <c r="T32" s="4">
        <v>6</v>
      </c>
      <c r="U32" s="4" t="s">
        <v>57</v>
      </c>
      <c r="V32" s="4">
        <v>97459</v>
      </c>
      <c r="W32" s="4" t="s">
        <v>58</v>
      </c>
      <c r="X32" s="4">
        <v>401265012</v>
      </c>
      <c r="Y32" s="4" t="s">
        <v>130</v>
      </c>
      <c r="Z32" s="4" t="s">
        <v>55</v>
      </c>
      <c r="AA32" s="4" t="s">
        <v>60</v>
      </c>
      <c r="AB32" s="4" t="s">
        <v>61</v>
      </c>
      <c r="AC32" s="4">
        <v>453</v>
      </c>
      <c r="AD32" s="4" t="s">
        <v>62</v>
      </c>
      <c r="AE32" s="4" t="s">
        <v>55</v>
      </c>
      <c r="AF32" s="4" t="s">
        <v>55</v>
      </c>
      <c r="AG32" s="4" t="s">
        <v>131</v>
      </c>
      <c r="AH32" s="4">
        <v>531407</v>
      </c>
      <c r="AI32" s="4" t="s">
        <v>64</v>
      </c>
      <c r="AJ32" s="4" t="s">
        <v>49</v>
      </c>
      <c r="AK32" s="5">
        <v>46003</v>
      </c>
      <c r="AL32" s="6">
        <v>46003</v>
      </c>
      <c r="AM32" s="6">
        <v>46003</v>
      </c>
      <c r="AN32" s="4">
        <v>0</v>
      </c>
      <c r="AO32" s="4"/>
      <c r="AP32" s="9">
        <v>90</v>
      </c>
      <c r="AQ32" s="9">
        <v>0</v>
      </c>
      <c r="AR32" s="9">
        <v>90</v>
      </c>
      <c r="AS32" s="9">
        <v>0</v>
      </c>
      <c r="AT32" s="4" t="s">
        <v>49</v>
      </c>
    </row>
    <row r="33" spans="1:46" ht="75" hidden="1" x14ac:dyDescent="0.25">
      <c r="A33" s="4">
        <v>40875425</v>
      </c>
      <c r="B33" s="4" t="str">
        <f>""</f>
        <v/>
      </c>
      <c r="C33" s="4" t="str">
        <f t="shared" si="3"/>
        <v>170700080001</v>
      </c>
      <c r="D33" s="4">
        <v>139</v>
      </c>
      <c r="E33" s="4" t="s">
        <v>47</v>
      </c>
      <c r="F33" s="4" t="s">
        <v>127</v>
      </c>
      <c r="G33" s="4" t="str">
        <f>"50026B7283AFBCFB"</f>
        <v>50026B7283AFBCFB</v>
      </c>
      <c r="H33" s="4" t="str">
        <f t="shared" si="4"/>
        <v>Disco Duro SSD PCIe NVMe, 1TB</v>
      </c>
      <c r="I33" s="4" t="str">
        <f t="shared" si="5"/>
        <v>KINGSTON</v>
      </c>
      <c r="J33" s="4"/>
      <c r="K33" s="4"/>
      <c r="L33" s="9">
        <v>90</v>
      </c>
      <c r="M33" s="4"/>
      <c r="N33" s="4" t="s">
        <v>128</v>
      </c>
      <c r="O33" s="4" t="s">
        <v>69</v>
      </c>
      <c r="P33" s="4" t="s">
        <v>129</v>
      </c>
      <c r="Q33" s="4" t="s">
        <v>54</v>
      </c>
      <c r="R33" s="4" t="s">
        <v>55</v>
      </c>
      <c r="S33" s="4" t="s">
        <v>56</v>
      </c>
      <c r="T33" s="4">
        <v>6</v>
      </c>
      <c r="U33" s="4" t="s">
        <v>57</v>
      </c>
      <c r="V33" s="4">
        <v>97459</v>
      </c>
      <c r="W33" s="4" t="s">
        <v>58</v>
      </c>
      <c r="X33" s="4">
        <v>401265012</v>
      </c>
      <c r="Y33" s="4" t="s">
        <v>130</v>
      </c>
      <c r="Z33" s="4" t="s">
        <v>55</v>
      </c>
      <c r="AA33" s="4" t="s">
        <v>60</v>
      </c>
      <c r="AB33" s="4" t="s">
        <v>61</v>
      </c>
      <c r="AC33" s="4">
        <v>453</v>
      </c>
      <c r="AD33" s="4" t="s">
        <v>62</v>
      </c>
      <c r="AE33" s="4" t="s">
        <v>55</v>
      </c>
      <c r="AF33" s="4" t="s">
        <v>55</v>
      </c>
      <c r="AG33" s="4" t="s">
        <v>131</v>
      </c>
      <c r="AH33" s="4">
        <v>531407</v>
      </c>
      <c r="AI33" s="4" t="s">
        <v>64</v>
      </c>
      <c r="AJ33" s="4" t="s">
        <v>49</v>
      </c>
      <c r="AK33" s="5">
        <v>46003</v>
      </c>
      <c r="AL33" s="6">
        <v>46003</v>
      </c>
      <c r="AM33" s="6">
        <v>46003</v>
      </c>
      <c r="AN33" s="4">
        <v>0</v>
      </c>
      <c r="AO33" s="4"/>
      <c r="AP33" s="9">
        <v>90</v>
      </c>
      <c r="AQ33" s="9">
        <v>0</v>
      </c>
      <c r="AR33" s="9">
        <v>90</v>
      </c>
      <c r="AS33" s="9">
        <v>0</v>
      </c>
      <c r="AT33" s="4" t="s">
        <v>49</v>
      </c>
    </row>
    <row r="34" spans="1:46" ht="75" hidden="1" x14ac:dyDescent="0.25">
      <c r="A34" s="4">
        <v>40875426</v>
      </c>
      <c r="B34" s="4" t="str">
        <f>""</f>
        <v/>
      </c>
      <c r="C34" s="4" t="str">
        <f t="shared" si="3"/>
        <v>170700080001</v>
      </c>
      <c r="D34" s="4">
        <v>139</v>
      </c>
      <c r="E34" s="4" t="s">
        <v>47</v>
      </c>
      <c r="F34" s="4" t="s">
        <v>127</v>
      </c>
      <c r="G34" s="4" t="str">
        <f>"50026B7283AFBDA8"</f>
        <v>50026B7283AFBDA8</v>
      </c>
      <c r="H34" s="4" t="str">
        <f t="shared" si="4"/>
        <v>Disco Duro SSD PCIe NVMe, 1TB</v>
      </c>
      <c r="I34" s="4" t="str">
        <f t="shared" si="5"/>
        <v>KINGSTON</v>
      </c>
      <c r="J34" s="4"/>
      <c r="K34" s="4"/>
      <c r="L34" s="9">
        <v>90</v>
      </c>
      <c r="M34" s="4"/>
      <c r="N34" s="4" t="s">
        <v>128</v>
      </c>
      <c r="O34" s="4" t="s">
        <v>69</v>
      </c>
      <c r="P34" s="4" t="s">
        <v>129</v>
      </c>
      <c r="Q34" s="4" t="s">
        <v>54</v>
      </c>
      <c r="R34" s="4" t="s">
        <v>55</v>
      </c>
      <c r="S34" s="4" t="s">
        <v>56</v>
      </c>
      <c r="T34" s="4">
        <v>6</v>
      </c>
      <c r="U34" s="4" t="s">
        <v>57</v>
      </c>
      <c r="V34" s="4">
        <v>97459</v>
      </c>
      <c r="W34" s="4" t="s">
        <v>58</v>
      </c>
      <c r="X34" s="4">
        <v>401265012</v>
      </c>
      <c r="Y34" s="4" t="s">
        <v>130</v>
      </c>
      <c r="Z34" s="4" t="s">
        <v>55</v>
      </c>
      <c r="AA34" s="4" t="s">
        <v>60</v>
      </c>
      <c r="AB34" s="4" t="s">
        <v>61</v>
      </c>
      <c r="AC34" s="4">
        <v>453</v>
      </c>
      <c r="AD34" s="4" t="s">
        <v>62</v>
      </c>
      <c r="AE34" s="4" t="s">
        <v>55</v>
      </c>
      <c r="AF34" s="4" t="s">
        <v>55</v>
      </c>
      <c r="AG34" s="4" t="s">
        <v>131</v>
      </c>
      <c r="AH34" s="4">
        <v>531407</v>
      </c>
      <c r="AI34" s="4" t="s">
        <v>64</v>
      </c>
      <c r="AJ34" s="4" t="s">
        <v>49</v>
      </c>
      <c r="AK34" s="5">
        <v>46003</v>
      </c>
      <c r="AL34" s="6">
        <v>46003</v>
      </c>
      <c r="AM34" s="6">
        <v>46003</v>
      </c>
      <c r="AN34" s="4">
        <v>0</v>
      </c>
      <c r="AO34" s="4"/>
      <c r="AP34" s="9">
        <v>90</v>
      </c>
      <c r="AQ34" s="9">
        <v>0</v>
      </c>
      <c r="AR34" s="9">
        <v>90</v>
      </c>
      <c r="AS34" s="9">
        <v>0</v>
      </c>
      <c r="AT34" s="4" t="s">
        <v>49</v>
      </c>
    </row>
    <row r="35" spans="1:46" ht="75" hidden="1" x14ac:dyDescent="0.25">
      <c r="A35" s="4">
        <v>40875427</v>
      </c>
      <c r="B35" s="4" t="str">
        <f>""</f>
        <v/>
      </c>
      <c r="C35" s="4" t="str">
        <f t="shared" si="3"/>
        <v>170700080001</v>
      </c>
      <c r="D35" s="4">
        <v>139</v>
      </c>
      <c r="E35" s="4" t="s">
        <v>47</v>
      </c>
      <c r="F35" s="4" t="s">
        <v>127</v>
      </c>
      <c r="G35" s="4" t="str">
        <f>"50026B7283AFBCEB"</f>
        <v>50026B7283AFBCEB</v>
      </c>
      <c r="H35" s="4" t="str">
        <f t="shared" si="4"/>
        <v>Disco Duro SSD PCIe NVMe, 1TB</v>
      </c>
      <c r="I35" s="4" t="str">
        <f t="shared" si="5"/>
        <v>KINGSTON</v>
      </c>
      <c r="J35" s="4"/>
      <c r="K35" s="4"/>
      <c r="L35" s="9">
        <v>90</v>
      </c>
      <c r="M35" s="4"/>
      <c r="N35" s="4" t="s">
        <v>128</v>
      </c>
      <c r="O35" s="4" t="s">
        <v>69</v>
      </c>
      <c r="P35" s="4" t="s">
        <v>129</v>
      </c>
      <c r="Q35" s="4" t="s">
        <v>54</v>
      </c>
      <c r="R35" s="4" t="s">
        <v>55</v>
      </c>
      <c r="S35" s="4" t="s">
        <v>56</v>
      </c>
      <c r="T35" s="4">
        <v>6</v>
      </c>
      <c r="U35" s="4" t="s">
        <v>57</v>
      </c>
      <c r="V35" s="4">
        <v>97459</v>
      </c>
      <c r="W35" s="4" t="s">
        <v>58</v>
      </c>
      <c r="X35" s="4">
        <v>401265012</v>
      </c>
      <c r="Y35" s="4" t="s">
        <v>130</v>
      </c>
      <c r="Z35" s="4" t="s">
        <v>55</v>
      </c>
      <c r="AA35" s="4" t="s">
        <v>60</v>
      </c>
      <c r="AB35" s="4" t="s">
        <v>61</v>
      </c>
      <c r="AC35" s="4">
        <v>453</v>
      </c>
      <c r="AD35" s="4" t="s">
        <v>62</v>
      </c>
      <c r="AE35" s="4" t="s">
        <v>55</v>
      </c>
      <c r="AF35" s="4" t="s">
        <v>55</v>
      </c>
      <c r="AG35" s="4" t="s">
        <v>131</v>
      </c>
      <c r="AH35" s="4">
        <v>531407</v>
      </c>
      <c r="AI35" s="4" t="s">
        <v>64</v>
      </c>
      <c r="AJ35" s="4" t="s">
        <v>49</v>
      </c>
      <c r="AK35" s="5">
        <v>46003</v>
      </c>
      <c r="AL35" s="6">
        <v>46003</v>
      </c>
      <c r="AM35" s="6">
        <v>46003</v>
      </c>
      <c r="AN35" s="4">
        <v>0</v>
      </c>
      <c r="AO35" s="4"/>
      <c r="AP35" s="9">
        <v>90</v>
      </c>
      <c r="AQ35" s="9">
        <v>0</v>
      </c>
      <c r="AR35" s="9">
        <v>90</v>
      </c>
      <c r="AS35" s="9">
        <v>0</v>
      </c>
      <c r="AT35" s="4" t="s">
        <v>49</v>
      </c>
    </row>
    <row r="36" spans="1:46" ht="75" hidden="1" x14ac:dyDescent="0.25">
      <c r="A36" s="4">
        <v>40875428</v>
      </c>
      <c r="B36" s="4" t="str">
        <f>""</f>
        <v/>
      </c>
      <c r="C36" s="4" t="str">
        <f t="shared" si="3"/>
        <v>170700080001</v>
      </c>
      <c r="D36" s="4">
        <v>139</v>
      </c>
      <c r="E36" s="4" t="s">
        <v>47</v>
      </c>
      <c r="F36" s="4" t="s">
        <v>127</v>
      </c>
      <c r="G36" s="4" t="str">
        <f>"50026B7283AFBCF5"</f>
        <v>50026B7283AFBCF5</v>
      </c>
      <c r="H36" s="4" t="str">
        <f t="shared" si="4"/>
        <v>Disco Duro SSD PCIe NVMe, 1TB</v>
      </c>
      <c r="I36" s="4" t="str">
        <f t="shared" si="5"/>
        <v>KINGSTON</v>
      </c>
      <c r="J36" s="4"/>
      <c r="K36" s="4"/>
      <c r="L36" s="9">
        <v>90</v>
      </c>
      <c r="M36" s="4"/>
      <c r="N36" s="4" t="s">
        <v>128</v>
      </c>
      <c r="O36" s="4" t="s">
        <v>69</v>
      </c>
      <c r="P36" s="4" t="s">
        <v>129</v>
      </c>
      <c r="Q36" s="4" t="s">
        <v>54</v>
      </c>
      <c r="R36" s="4" t="s">
        <v>55</v>
      </c>
      <c r="S36" s="4" t="s">
        <v>56</v>
      </c>
      <c r="T36" s="4">
        <v>6</v>
      </c>
      <c r="U36" s="4" t="s">
        <v>57</v>
      </c>
      <c r="V36" s="4">
        <v>97459</v>
      </c>
      <c r="W36" s="4" t="s">
        <v>58</v>
      </c>
      <c r="X36" s="4">
        <v>401265012</v>
      </c>
      <c r="Y36" s="4" t="s">
        <v>130</v>
      </c>
      <c r="Z36" s="4" t="s">
        <v>55</v>
      </c>
      <c r="AA36" s="4" t="s">
        <v>60</v>
      </c>
      <c r="AB36" s="4" t="s">
        <v>61</v>
      </c>
      <c r="AC36" s="4">
        <v>453</v>
      </c>
      <c r="AD36" s="4" t="s">
        <v>62</v>
      </c>
      <c r="AE36" s="4" t="s">
        <v>55</v>
      </c>
      <c r="AF36" s="4" t="s">
        <v>55</v>
      </c>
      <c r="AG36" s="4" t="s">
        <v>131</v>
      </c>
      <c r="AH36" s="4">
        <v>531407</v>
      </c>
      <c r="AI36" s="4" t="s">
        <v>64</v>
      </c>
      <c r="AJ36" s="4" t="s">
        <v>49</v>
      </c>
      <c r="AK36" s="5">
        <v>46003</v>
      </c>
      <c r="AL36" s="6">
        <v>46003</v>
      </c>
      <c r="AM36" s="6">
        <v>46003</v>
      </c>
      <c r="AN36" s="4">
        <v>0</v>
      </c>
      <c r="AO36" s="4"/>
      <c r="AP36" s="9">
        <v>90</v>
      </c>
      <c r="AQ36" s="9">
        <v>0</v>
      </c>
      <c r="AR36" s="9">
        <v>90</v>
      </c>
      <c r="AS36" s="9">
        <v>0</v>
      </c>
      <c r="AT36" s="4" t="s">
        <v>49</v>
      </c>
    </row>
    <row r="37" spans="1:46" ht="75" hidden="1" x14ac:dyDescent="0.25">
      <c r="A37" s="4">
        <v>35650865</v>
      </c>
      <c r="B37" s="4" t="str">
        <f>"18870656"</f>
        <v>18870656</v>
      </c>
      <c r="C37" s="4" t="str">
        <f>"300800140003"</f>
        <v>300800140003</v>
      </c>
      <c r="D37" s="4">
        <v>425297</v>
      </c>
      <c r="E37" s="4" t="s">
        <v>132</v>
      </c>
      <c r="F37" s="4" t="s">
        <v>133</v>
      </c>
      <c r="G37" s="4" t="str">
        <f>"18870656"</f>
        <v>18870656</v>
      </c>
      <c r="H37" s="4" t="str">
        <f>"CAJONERA RECTANGULAR DE MADERA Y METAL CON 2 SERVICIOS"</f>
        <v>CAJONERA RECTANGULAR DE MADERA Y METAL CON 2 SERVICIOS</v>
      </c>
      <c r="I37" s="4" t="str">
        <f>"MEGA MUEBLES DE OFICINA / TIENE CERRADURA"</f>
        <v>MEGA MUEBLES DE OFICINA / TIENE CERRADURA</v>
      </c>
      <c r="J37" s="4" t="s">
        <v>49</v>
      </c>
      <c r="K37" s="4"/>
      <c r="L37" s="9">
        <v>93</v>
      </c>
      <c r="M37" s="4" t="s">
        <v>49</v>
      </c>
      <c r="N37" s="4" t="s">
        <v>113</v>
      </c>
      <c r="O37" s="4" t="s">
        <v>134</v>
      </c>
      <c r="P37" s="4" t="s">
        <v>135</v>
      </c>
      <c r="Q37" s="4" t="s">
        <v>54</v>
      </c>
      <c r="R37" s="4" t="s">
        <v>55</v>
      </c>
      <c r="S37" s="4" t="s">
        <v>56</v>
      </c>
      <c r="T37" s="4">
        <v>6</v>
      </c>
      <c r="U37" s="4" t="s">
        <v>57</v>
      </c>
      <c r="V37" s="4">
        <v>97459</v>
      </c>
      <c r="W37" s="4" t="s">
        <v>58</v>
      </c>
      <c r="X37" s="4">
        <v>401265012</v>
      </c>
      <c r="Y37" s="4" t="s">
        <v>130</v>
      </c>
      <c r="Z37" s="4" t="s">
        <v>55</v>
      </c>
      <c r="AA37" s="4" t="s">
        <v>136</v>
      </c>
      <c r="AB37" s="4" t="s">
        <v>137</v>
      </c>
      <c r="AC37" s="4" t="s">
        <v>73</v>
      </c>
      <c r="AD37" s="4" t="s">
        <v>73</v>
      </c>
      <c r="AE37" s="4" t="s">
        <v>73</v>
      </c>
      <c r="AF37" s="4" t="s">
        <v>55</v>
      </c>
      <c r="AG37" s="4" t="s">
        <v>138</v>
      </c>
      <c r="AH37" s="4">
        <v>840103</v>
      </c>
      <c r="AI37" s="4" t="s">
        <v>139</v>
      </c>
      <c r="AJ37" s="4" t="s">
        <v>55</v>
      </c>
      <c r="AK37" s="5">
        <v>44874.711168981485</v>
      </c>
      <c r="AL37" s="6">
        <v>36517</v>
      </c>
      <c r="AM37" s="6">
        <v>40166</v>
      </c>
      <c r="AN37" s="4">
        <v>10</v>
      </c>
      <c r="AO37" s="6">
        <v>40166</v>
      </c>
      <c r="AP37" s="9">
        <v>93</v>
      </c>
      <c r="AQ37" s="9">
        <v>9.3000000000000007</v>
      </c>
      <c r="AR37" s="9">
        <v>9.3000000000000007</v>
      </c>
      <c r="AS37" s="9">
        <v>83.7</v>
      </c>
      <c r="AT37" s="4" t="s">
        <v>49</v>
      </c>
    </row>
    <row r="38" spans="1:46" ht="30" hidden="1" x14ac:dyDescent="0.25">
      <c r="A38" s="4">
        <v>35650869</v>
      </c>
      <c r="B38" s="4" t="str">
        <f>"18870660"</f>
        <v>18870660</v>
      </c>
      <c r="C38" s="4" t="str">
        <f>"300100130006"</f>
        <v>300100130006</v>
      </c>
      <c r="D38" s="4">
        <v>425297</v>
      </c>
      <c r="E38" s="4" t="s">
        <v>132</v>
      </c>
      <c r="F38" s="4" t="s">
        <v>142</v>
      </c>
      <c r="G38" s="4" t="str">
        <f>"18870660"</f>
        <v>18870660</v>
      </c>
      <c r="H38" s="4" t="str">
        <f>"18870660"</f>
        <v>18870660</v>
      </c>
      <c r="I38" s="4" t="str">
        <f>"SIN MARCA"</f>
        <v>SIN MARCA</v>
      </c>
      <c r="J38" s="4" t="s">
        <v>49</v>
      </c>
      <c r="K38" s="4"/>
      <c r="L38" s="9">
        <v>410</v>
      </c>
      <c r="M38" s="4" t="s">
        <v>49</v>
      </c>
      <c r="N38" s="4" t="s">
        <v>143</v>
      </c>
      <c r="O38" s="4"/>
      <c r="P38" s="4" t="s">
        <v>135</v>
      </c>
      <c r="Q38" s="4" t="s">
        <v>54</v>
      </c>
      <c r="R38" s="4" t="s">
        <v>55</v>
      </c>
      <c r="S38" s="4" t="s">
        <v>56</v>
      </c>
      <c r="T38" s="4">
        <v>6</v>
      </c>
      <c r="U38" s="4" t="s">
        <v>57</v>
      </c>
      <c r="V38" s="4">
        <v>97459</v>
      </c>
      <c r="W38" s="4" t="s">
        <v>58</v>
      </c>
      <c r="X38" s="4">
        <v>1717662512</v>
      </c>
      <c r="Y38" s="4" t="s">
        <v>71</v>
      </c>
      <c r="Z38" s="4" t="s">
        <v>55</v>
      </c>
      <c r="AA38" s="4" t="s">
        <v>136</v>
      </c>
      <c r="AB38" s="4" t="s">
        <v>137</v>
      </c>
      <c r="AC38" s="4" t="s">
        <v>73</v>
      </c>
      <c r="AD38" s="4" t="s">
        <v>73</v>
      </c>
      <c r="AE38" s="4" t="s">
        <v>73</v>
      </c>
      <c r="AF38" s="4" t="s">
        <v>55</v>
      </c>
      <c r="AG38" s="4" t="s">
        <v>144</v>
      </c>
      <c r="AH38" s="4">
        <v>840103</v>
      </c>
      <c r="AI38" s="4" t="s">
        <v>139</v>
      </c>
      <c r="AJ38" s="4" t="s">
        <v>55</v>
      </c>
      <c r="AK38" s="5">
        <v>44874.711168981485</v>
      </c>
      <c r="AL38" s="6">
        <v>36517</v>
      </c>
      <c r="AM38" s="6">
        <v>40166</v>
      </c>
      <c r="AN38" s="4">
        <v>10</v>
      </c>
      <c r="AO38" s="6">
        <v>40166</v>
      </c>
      <c r="AP38" s="9">
        <v>410</v>
      </c>
      <c r="AQ38" s="9">
        <v>41</v>
      </c>
      <c r="AR38" s="9">
        <v>41</v>
      </c>
      <c r="AS38" s="9">
        <v>369</v>
      </c>
      <c r="AT38" s="4" t="s">
        <v>49</v>
      </c>
    </row>
    <row r="39" spans="1:46" ht="30" hidden="1" x14ac:dyDescent="0.25">
      <c r="A39" s="4">
        <v>35650922</v>
      </c>
      <c r="B39" s="4" t="str">
        <f>"21346880"</f>
        <v>21346880</v>
      </c>
      <c r="C39" s="4" t="str">
        <f>"300100130006"</f>
        <v>300100130006</v>
      </c>
      <c r="D39" s="4">
        <v>425297</v>
      </c>
      <c r="E39" s="4" t="s">
        <v>132</v>
      </c>
      <c r="F39" s="4" t="s">
        <v>142</v>
      </c>
      <c r="G39" s="4" t="str">
        <f>"21346880"</f>
        <v>21346880</v>
      </c>
      <c r="H39" s="4" t="str">
        <f>"21346880"</f>
        <v>21346880</v>
      </c>
      <c r="I39" s="4" t="str">
        <f>"SIN MARCA"</f>
        <v>SIN MARCA</v>
      </c>
      <c r="J39" s="4" t="s">
        <v>49</v>
      </c>
      <c r="K39" s="4"/>
      <c r="L39" s="9">
        <v>843.19</v>
      </c>
      <c r="M39" s="4" t="s">
        <v>49</v>
      </c>
      <c r="N39" s="4" t="s">
        <v>146</v>
      </c>
      <c r="O39" s="4"/>
      <c r="P39" s="4" t="s">
        <v>135</v>
      </c>
      <c r="Q39" s="4" t="s">
        <v>54</v>
      </c>
      <c r="R39" s="4" t="s">
        <v>55</v>
      </c>
      <c r="S39" s="4" t="s">
        <v>56</v>
      </c>
      <c r="T39" s="4">
        <v>6</v>
      </c>
      <c r="U39" s="4" t="s">
        <v>57</v>
      </c>
      <c r="V39" s="4">
        <v>97459</v>
      </c>
      <c r="W39" s="4" t="s">
        <v>58</v>
      </c>
      <c r="X39" s="4">
        <v>1719443135</v>
      </c>
      <c r="Y39" s="4" t="s">
        <v>109</v>
      </c>
      <c r="Z39" s="4" t="s">
        <v>55</v>
      </c>
      <c r="AA39" s="4" t="s">
        <v>136</v>
      </c>
      <c r="AB39" s="4" t="s">
        <v>137</v>
      </c>
      <c r="AC39" s="4" t="s">
        <v>73</v>
      </c>
      <c r="AD39" s="4" t="s">
        <v>73</v>
      </c>
      <c r="AE39" s="4" t="s">
        <v>73</v>
      </c>
      <c r="AF39" s="4" t="s">
        <v>55</v>
      </c>
      <c r="AG39" s="4" t="s">
        <v>142</v>
      </c>
      <c r="AH39" s="4">
        <v>840103</v>
      </c>
      <c r="AI39" s="4" t="s">
        <v>139</v>
      </c>
      <c r="AJ39" s="4" t="s">
        <v>49</v>
      </c>
      <c r="AK39" s="5">
        <v>44874.711180555554</v>
      </c>
      <c r="AL39" s="6">
        <v>42278</v>
      </c>
      <c r="AM39" s="6">
        <v>45927</v>
      </c>
      <c r="AN39" s="4">
        <v>10</v>
      </c>
      <c r="AO39" s="6">
        <v>45927</v>
      </c>
      <c r="AP39" s="9">
        <v>843.19</v>
      </c>
      <c r="AQ39" s="9">
        <v>84.32</v>
      </c>
      <c r="AR39" s="9">
        <v>84.32</v>
      </c>
      <c r="AS39" s="9">
        <v>758.87</v>
      </c>
      <c r="AT39" s="4" t="s">
        <v>49</v>
      </c>
    </row>
    <row r="40" spans="1:46" ht="30" hidden="1" x14ac:dyDescent="0.25">
      <c r="A40" s="4">
        <v>35650923</v>
      </c>
      <c r="B40" s="4" t="str">
        <f>"21346881"</f>
        <v>21346881</v>
      </c>
      <c r="C40" s="4" t="str">
        <f>"300100130006"</f>
        <v>300100130006</v>
      </c>
      <c r="D40" s="4">
        <v>425297</v>
      </c>
      <c r="E40" s="4" t="s">
        <v>132</v>
      </c>
      <c r="F40" s="4" t="s">
        <v>142</v>
      </c>
      <c r="G40" s="4" t="str">
        <f>"21346881"</f>
        <v>21346881</v>
      </c>
      <c r="H40" s="4" t="str">
        <f>"21346881"</f>
        <v>21346881</v>
      </c>
      <c r="I40" s="4" t="str">
        <f>"SIN MARCA"</f>
        <v>SIN MARCA</v>
      </c>
      <c r="J40" s="4" t="s">
        <v>49</v>
      </c>
      <c r="K40" s="4"/>
      <c r="L40" s="9">
        <v>843.19</v>
      </c>
      <c r="M40" s="4" t="s">
        <v>49</v>
      </c>
      <c r="N40" s="4" t="s">
        <v>146</v>
      </c>
      <c r="O40" s="4"/>
      <c r="P40" s="4" t="s">
        <v>135</v>
      </c>
      <c r="Q40" s="4" t="s">
        <v>54</v>
      </c>
      <c r="R40" s="4" t="s">
        <v>55</v>
      </c>
      <c r="S40" s="4" t="s">
        <v>56</v>
      </c>
      <c r="T40" s="4">
        <v>6</v>
      </c>
      <c r="U40" s="4" t="s">
        <v>57</v>
      </c>
      <c r="V40" s="4">
        <v>97459</v>
      </c>
      <c r="W40" s="4" t="s">
        <v>58</v>
      </c>
      <c r="X40" s="4">
        <v>401265012</v>
      </c>
      <c r="Y40" s="4" t="s">
        <v>130</v>
      </c>
      <c r="Z40" s="4" t="s">
        <v>55</v>
      </c>
      <c r="AA40" s="4" t="s">
        <v>136</v>
      </c>
      <c r="AB40" s="4" t="s">
        <v>137</v>
      </c>
      <c r="AC40" s="4" t="s">
        <v>73</v>
      </c>
      <c r="AD40" s="4" t="s">
        <v>73</v>
      </c>
      <c r="AE40" s="4" t="s">
        <v>73</v>
      </c>
      <c r="AF40" s="4" t="s">
        <v>55</v>
      </c>
      <c r="AG40" s="4" t="s">
        <v>142</v>
      </c>
      <c r="AH40" s="4">
        <v>840103</v>
      </c>
      <c r="AI40" s="4" t="s">
        <v>139</v>
      </c>
      <c r="AJ40" s="4" t="s">
        <v>49</v>
      </c>
      <c r="AK40" s="5">
        <v>44874.711180555554</v>
      </c>
      <c r="AL40" s="6">
        <v>42278</v>
      </c>
      <c r="AM40" s="6">
        <v>45927</v>
      </c>
      <c r="AN40" s="4">
        <v>10</v>
      </c>
      <c r="AO40" s="6">
        <v>45927</v>
      </c>
      <c r="AP40" s="9">
        <v>843.19</v>
      </c>
      <c r="AQ40" s="9">
        <v>84.32</v>
      </c>
      <c r="AR40" s="9">
        <v>84.32</v>
      </c>
      <c r="AS40" s="9">
        <v>758.87</v>
      </c>
      <c r="AT40" s="4" t="s">
        <v>49</v>
      </c>
    </row>
    <row r="41" spans="1:46" ht="30" hidden="1" x14ac:dyDescent="0.25">
      <c r="A41" s="4">
        <v>35650924</v>
      </c>
      <c r="B41" s="4" t="str">
        <f>"21346882"</f>
        <v>21346882</v>
      </c>
      <c r="C41" s="4" t="str">
        <f>"300600010001"</f>
        <v>300600010001</v>
      </c>
      <c r="D41" s="4">
        <v>425297</v>
      </c>
      <c r="E41" s="4" t="s">
        <v>132</v>
      </c>
      <c r="F41" s="4" t="s">
        <v>149</v>
      </c>
      <c r="G41" s="4" t="str">
        <f>"21346882"</f>
        <v>21346882</v>
      </c>
      <c r="H41" s="4" t="str">
        <f>"21346882"</f>
        <v>21346882</v>
      </c>
      <c r="I41" s="4" t="str">
        <f>"SMMO460"</f>
        <v>SMMO460</v>
      </c>
      <c r="J41" s="4" t="s">
        <v>49</v>
      </c>
      <c r="K41" s="4"/>
      <c r="L41" s="9">
        <v>190.85</v>
      </c>
      <c r="M41" s="4" t="s">
        <v>49</v>
      </c>
      <c r="N41" s="4" t="s">
        <v>151</v>
      </c>
      <c r="O41" s="4"/>
      <c r="P41" s="4" t="s">
        <v>135</v>
      </c>
      <c r="Q41" s="4" t="s">
        <v>54</v>
      </c>
      <c r="R41" s="4" t="s">
        <v>55</v>
      </c>
      <c r="S41" s="4" t="s">
        <v>56</v>
      </c>
      <c r="T41" s="4">
        <v>6</v>
      </c>
      <c r="U41" s="4" t="s">
        <v>57</v>
      </c>
      <c r="V41" s="4">
        <v>97459</v>
      </c>
      <c r="W41" s="4" t="s">
        <v>58</v>
      </c>
      <c r="X41" s="4">
        <v>1726517327</v>
      </c>
      <c r="Y41" s="4" t="s">
        <v>152</v>
      </c>
      <c r="Z41" s="4" t="s">
        <v>55</v>
      </c>
      <c r="AA41" s="4" t="s">
        <v>136</v>
      </c>
      <c r="AB41" s="4" t="s">
        <v>137</v>
      </c>
      <c r="AC41" s="4" t="s">
        <v>73</v>
      </c>
      <c r="AD41" s="4" t="s">
        <v>73</v>
      </c>
      <c r="AE41" s="4" t="s">
        <v>73</v>
      </c>
      <c r="AF41" s="4" t="s">
        <v>55</v>
      </c>
      <c r="AG41" s="4" t="s">
        <v>153</v>
      </c>
      <c r="AH41" s="4">
        <v>840103</v>
      </c>
      <c r="AI41" s="4" t="s">
        <v>139</v>
      </c>
      <c r="AJ41" s="4" t="s">
        <v>55</v>
      </c>
      <c r="AK41" s="5">
        <v>44874.711180555554</v>
      </c>
      <c r="AL41" s="6">
        <v>41617</v>
      </c>
      <c r="AM41" s="6">
        <v>45266</v>
      </c>
      <c r="AN41" s="4">
        <v>10</v>
      </c>
      <c r="AO41" s="6">
        <v>45266</v>
      </c>
      <c r="AP41" s="9">
        <v>190.85</v>
      </c>
      <c r="AQ41" s="9">
        <v>19.09</v>
      </c>
      <c r="AR41" s="9">
        <v>19.09</v>
      </c>
      <c r="AS41" s="9">
        <v>171.76</v>
      </c>
      <c r="AT41" s="4" t="s">
        <v>49</v>
      </c>
    </row>
    <row r="42" spans="1:46" ht="30" hidden="1" x14ac:dyDescent="0.25">
      <c r="A42" s="4">
        <v>35650926</v>
      </c>
      <c r="B42" s="4" t="str">
        <f>"21346884"</f>
        <v>21346884</v>
      </c>
      <c r="C42" s="4" t="str">
        <f>"300100130006"</f>
        <v>300100130006</v>
      </c>
      <c r="D42" s="4">
        <v>425297</v>
      </c>
      <c r="E42" s="4" t="s">
        <v>132</v>
      </c>
      <c r="F42" s="4" t="s">
        <v>142</v>
      </c>
      <c r="G42" s="4" t="str">
        <f>"21346884"</f>
        <v>21346884</v>
      </c>
      <c r="H42" s="4" t="str">
        <f>"21346884"</f>
        <v>21346884</v>
      </c>
      <c r="I42" s="4" t="str">
        <f>"SMMO26"</f>
        <v>SMMO26</v>
      </c>
      <c r="J42" s="4" t="s">
        <v>49</v>
      </c>
      <c r="K42" s="4"/>
      <c r="L42" s="9">
        <v>1456</v>
      </c>
      <c r="M42" s="4" t="s">
        <v>49</v>
      </c>
      <c r="N42" s="4" t="s">
        <v>156</v>
      </c>
      <c r="O42" s="4"/>
      <c r="P42" s="4" t="s">
        <v>135</v>
      </c>
      <c r="Q42" s="4" t="s">
        <v>54</v>
      </c>
      <c r="R42" s="4" t="s">
        <v>55</v>
      </c>
      <c r="S42" s="4" t="s">
        <v>56</v>
      </c>
      <c r="T42" s="4">
        <v>6</v>
      </c>
      <c r="U42" s="4" t="s">
        <v>57</v>
      </c>
      <c r="V42" s="4">
        <v>97459</v>
      </c>
      <c r="W42" s="4" t="s">
        <v>58</v>
      </c>
      <c r="X42" s="4">
        <v>1709796500</v>
      </c>
      <c r="Y42" s="4" t="s">
        <v>157</v>
      </c>
      <c r="Z42" s="4" t="s">
        <v>55</v>
      </c>
      <c r="AA42" s="4" t="s">
        <v>136</v>
      </c>
      <c r="AB42" s="4" t="s">
        <v>137</v>
      </c>
      <c r="AC42" s="4" t="s">
        <v>73</v>
      </c>
      <c r="AD42" s="4" t="s">
        <v>73</v>
      </c>
      <c r="AE42" s="4" t="s">
        <v>73</v>
      </c>
      <c r="AF42" s="4" t="s">
        <v>55</v>
      </c>
      <c r="AG42" s="4" t="s">
        <v>142</v>
      </c>
      <c r="AH42" s="4">
        <v>840103</v>
      </c>
      <c r="AI42" s="4" t="s">
        <v>139</v>
      </c>
      <c r="AJ42" s="4" t="s">
        <v>49</v>
      </c>
      <c r="AK42" s="5">
        <v>44874.711180555554</v>
      </c>
      <c r="AL42" s="6">
        <v>41617</v>
      </c>
      <c r="AM42" s="6">
        <v>45266</v>
      </c>
      <c r="AN42" s="4">
        <v>10</v>
      </c>
      <c r="AO42" s="6">
        <v>45266</v>
      </c>
      <c r="AP42" s="9">
        <v>1456</v>
      </c>
      <c r="AQ42" s="9">
        <v>145.6</v>
      </c>
      <c r="AR42" s="9">
        <v>145.6</v>
      </c>
      <c r="AS42" s="9">
        <v>1310.4000000000001</v>
      </c>
      <c r="AT42" s="4" t="s">
        <v>49</v>
      </c>
    </row>
    <row r="43" spans="1:46" ht="105" hidden="1" x14ac:dyDescent="0.25">
      <c r="A43" s="4">
        <v>39250319</v>
      </c>
      <c r="B43" s="4" t="str">
        <f>""</f>
        <v/>
      </c>
      <c r="C43" s="4" t="str">
        <f>"300100400003"</f>
        <v>300100400003</v>
      </c>
      <c r="D43" s="4">
        <v>14</v>
      </c>
      <c r="E43" s="4" t="s">
        <v>132</v>
      </c>
      <c r="F43" s="4" t="s">
        <v>160</v>
      </c>
      <c r="G43" s="4" t="str">
        <f>"39250319"</f>
        <v>39250319</v>
      </c>
      <c r="H43" s="4" t="str">
        <f>"MESA DE REUNIONES CIRCULAR 1900MM DE DIAMETRO 4P"</f>
        <v>MESA DE REUNIONES CIRCULAR 1900MM DE DIAMETRO 4P</v>
      </c>
      <c r="I43" s="4" t="str">
        <f t="shared" ref="I43:I62" si="6">"N/A"</f>
        <v>N/A</v>
      </c>
      <c r="J43" s="4" t="s">
        <v>49</v>
      </c>
      <c r="K43" s="4"/>
      <c r="L43" s="9">
        <v>116</v>
      </c>
      <c r="M43" s="4" t="s">
        <v>49</v>
      </c>
      <c r="N43" s="4" t="s">
        <v>161</v>
      </c>
      <c r="O43" s="4" t="s">
        <v>162</v>
      </c>
      <c r="P43" s="4" t="s">
        <v>163</v>
      </c>
      <c r="Q43" s="4" t="s">
        <v>54</v>
      </c>
      <c r="R43" s="4" t="s">
        <v>55</v>
      </c>
      <c r="S43" s="4" t="s">
        <v>56</v>
      </c>
      <c r="T43" s="4">
        <v>6</v>
      </c>
      <c r="U43" s="4" t="s">
        <v>57</v>
      </c>
      <c r="V43" s="4">
        <v>97459</v>
      </c>
      <c r="W43" s="4" t="s">
        <v>58</v>
      </c>
      <c r="X43" s="4">
        <v>103542908</v>
      </c>
      <c r="Y43" s="4" t="s">
        <v>164</v>
      </c>
      <c r="Z43" s="4" t="s">
        <v>55</v>
      </c>
      <c r="AA43" s="4" t="s">
        <v>60</v>
      </c>
      <c r="AB43" s="4" t="s">
        <v>61</v>
      </c>
      <c r="AC43" s="4">
        <v>443</v>
      </c>
      <c r="AD43" s="4" t="s">
        <v>62</v>
      </c>
      <c r="AE43" s="4" t="s">
        <v>55</v>
      </c>
      <c r="AF43" s="4" t="s">
        <v>55</v>
      </c>
      <c r="AG43" s="4" t="s">
        <v>165</v>
      </c>
      <c r="AH43" s="4">
        <v>840103</v>
      </c>
      <c r="AI43" s="4" t="s">
        <v>139</v>
      </c>
      <c r="AJ43" s="4" t="s">
        <v>55</v>
      </c>
      <c r="AK43" s="5">
        <v>45609</v>
      </c>
      <c r="AL43" s="6">
        <v>45609</v>
      </c>
      <c r="AM43" s="6">
        <v>46081</v>
      </c>
      <c r="AN43" s="4">
        <v>10</v>
      </c>
      <c r="AO43" s="6">
        <v>49258</v>
      </c>
      <c r="AP43" s="9">
        <v>116</v>
      </c>
      <c r="AQ43" s="9">
        <v>11.6</v>
      </c>
      <c r="AR43" s="9">
        <v>102.46</v>
      </c>
      <c r="AS43" s="9">
        <v>13.54</v>
      </c>
      <c r="AT43" s="4" t="s">
        <v>49</v>
      </c>
    </row>
    <row r="44" spans="1:46" ht="105" hidden="1" x14ac:dyDescent="0.25">
      <c r="A44" s="4">
        <v>39250320</v>
      </c>
      <c r="B44" s="4" t="str">
        <f>""</f>
        <v/>
      </c>
      <c r="C44" s="4" t="str">
        <f>"300100400003"</f>
        <v>300100400003</v>
      </c>
      <c r="D44" s="4">
        <v>14</v>
      </c>
      <c r="E44" s="4" t="s">
        <v>132</v>
      </c>
      <c r="F44" s="4" t="s">
        <v>160</v>
      </c>
      <c r="G44" s="4" t="str">
        <f>"39250320"</f>
        <v>39250320</v>
      </c>
      <c r="H44" s="4" t="str">
        <f>"MESA DE REUNIONES CIRCULAR 1900MM DE DIAMETRO 4P"</f>
        <v>MESA DE REUNIONES CIRCULAR 1900MM DE DIAMETRO 4P</v>
      </c>
      <c r="I44" s="4" t="str">
        <f t="shared" si="6"/>
        <v>N/A</v>
      </c>
      <c r="J44" s="4" t="s">
        <v>49</v>
      </c>
      <c r="K44" s="4"/>
      <c r="L44" s="9">
        <v>116</v>
      </c>
      <c r="M44" s="4" t="s">
        <v>49</v>
      </c>
      <c r="N44" s="4" t="s">
        <v>161</v>
      </c>
      <c r="O44" s="4" t="s">
        <v>162</v>
      </c>
      <c r="P44" s="4" t="s">
        <v>163</v>
      </c>
      <c r="Q44" s="4" t="s">
        <v>54</v>
      </c>
      <c r="R44" s="4" t="s">
        <v>55</v>
      </c>
      <c r="S44" s="4" t="s">
        <v>56</v>
      </c>
      <c r="T44" s="4">
        <v>6</v>
      </c>
      <c r="U44" s="4" t="s">
        <v>57</v>
      </c>
      <c r="V44" s="4">
        <v>97459</v>
      </c>
      <c r="W44" s="4" t="s">
        <v>58</v>
      </c>
      <c r="X44" s="4">
        <v>1711995694</v>
      </c>
      <c r="Y44" s="4" t="s">
        <v>169</v>
      </c>
      <c r="Z44" s="4" t="s">
        <v>55</v>
      </c>
      <c r="AA44" s="4" t="s">
        <v>60</v>
      </c>
      <c r="AB44" s="4" t="s">
        <v>61</v>
      </c>
      <c r="AC44" s="4">
        <v>443</v>
      </c>
      <c r="AD44" s="4" t="s">
        <v>62</v>
      </c>
      <c r="AE44" s="4" t="s">
        <v>55</v>
      </c>
      <c r="AF44" s="4" t="s">
        <v>55</v>
      </c>
      <c r="AG44" s="4" t="s">
        <v>165</v>
      </c>
      <c r="AH44" s="4">
        <v>840103</v>
      </c>
      <c r="AI44" s="4" t="s">
        <v>139</v>
      </c>
      <c r="AJ44" s="4" t="s">
        <v>55</v>
      </c>
      <c r="AK44" s="5">
        <v>45609</v>
      </c>
      <c r="AL44" s="6">
        <v>45610</v>
      </c>
      <c r="AM44" s="6">
        <v>46081</v>
      </c>
      <c r="AN44" s="4">
        <v>10</v>
      </c>
      <c r="AO44" s="6">
        <v>49259</v>
      </c>
      <c r="AP44" s="9">
        <v>116</v>
      </c>
      <c r="AQ44" s="9">
        <v>11.6</v>
      </c>
      <c r="AR44" s="9">
        <v>102.48</v>
      </c>
      <c r="AS44" s="9">
        <v>13.52</v>
      </c>
      <c r="AT44" s="4" t="s">
        <v>49</v>
      </c>
    </row>
    <row r="45" spans="1:46" ht="105" hidden="1" x14ac:dyDescent="0.25">
      <c r="A45" s="4">
        <v>39250321</v>
      </c>
      <c r="B45" s="4" t="str">
        <f>""</f>
        <v/>
      </c>
      <c r="C45" s="4" t="str">
        <f>"300100400003"</f>
        <v>300100400003</v>
      </c>
      <c r="D45" s="4">
        <v>14</v>
      </c>
      <c r="E45" s="4" t="s">
        <v>132</v>
      </c>
      <c r="F45" s="4" t="s">
        <v>160</v>
      </c>
      <c r="G45" s="4" t="str">
        <f>"39250321"</f>
        <v>39250321</v>
      </c>
      <c r="H45" s="4" t="str">
        <f>"MESA DE REUNIONES CIRCULAR 1900MM DE DIAMETRO 4P"</f>
        <v>MESA DE REUNIONES CIRCULAR 1900MM DE DIAMETRO 4P</v>
      </c>
      <c r="I45" s="4" t="str">
        <f t="shared" si="6"/>
        <v>N/A</v>
      </c>
      <c r="J45" s="4" t="s">
        <v>49</v>
      </c>
      <c r="K45" s="4"/>
      <c r="L45" s="9">
        <v>116</v>
      </c>
      <c r="M45" s="4" t="s">
        <v>49</v>
      </c>
      <c r="N45" s="4" t="s">
        <v>161</v>
      </c>
      <c r="O45" s="4" t="s">
        <v>162</v>
      </c>
      <c r="P45" s="4" t="s">
        <v>163</v>
      </c>
      <c r="Q45" s="4" t="s">
        <v>54</v>
      </c>
      <c r="R45" s="4" t="s">
        <v>55</v>
      </c>
      <c r="S45" s="4" t="s">
        <v>56</v>
      </c>
      <c r="T45" s="4">
        <v>6</v>
      </c>
      <c r="U45" s="4" t="s">
        <v>57</v>
      </c>
      <c r="V45" s="4">
        <v>97459</v>
      </c>
      <c r="W45" s="4" t="s">
        <v>58</v>
      </c>
      <c r="X45" s="4">
        <v>102936168</v>
      </c>
      <c r="Y45" s="4" t="s">
        <v>59</v>
      </c>
      <c r="Z45" s="4" t="s">
        <v>55</v>
      </c>
      <c r="AA45" s="4" t="s">
        <v>60</v>
      </c>
      <c r="AB45" s="4" t="s">
        <v>61</v>
      </c>
      <c r="AC45" s="4">
        <v>443</v>
      </c>
      <c r="AD45" s="4" t="s">
        <v>62</v>
      </c>
      <c r="AE45" s="4" t="s">
        <v>55</v>
      </c>
      <c r="AF45" s="4" t="s">
        <v>55</v>
      </c>
      <c r="AG45" s="4" t="s">
        <v>165</v>
      </c>
      <c r="AH45" s="4">
        <v>840103</v>
      </c>
      <c r="AI45" s="4" t="s">
        <v>139</v>
      </c>
      <c r="AJ45" s="4" t="s">
        <v>55</v>
      </c>
      <c r="AK45" s="5">
        <v>45609</v>
      </c>
      <c r="AL45" s="6">
        <v>45610</v>
      </c>
      <c r="AM45" s="6">
        <v>46081</v>
      </c>
      <c r="AN45" s="4">
        <v>10</v>
      </c>
      <c r="AO45" s="6">
        <v>49259</v>
      </c>
      <c r="AP45" s="9">
        <v>116</v>
      </c>
      <c r="AQ45" s="9">
        <v>11.6</v>
      </c>
      <c r="AR45" s="9">
        <v>102.48</v>
      </c>
      <c r="AS45" s="9">
        <v>13.52</v>
      </c>
      <c r="AT45" s="4" t="s">
        <v>49</v>
      </c>
    </row>
    <row r="46" spans="1:46" ht="105" hidden="1" x14ac:dyDescent="0.25">
      <c r="A46" s="4">
        <v>39250322</v>
      </c>
      <c r="B46" s="4" t="str">
        <f>""</f>
        <v/>
      </c>
      <c r="C46" s="4" t="str">
        <f>"300100400003"</f>
        <v>300100400003</v>
      </c>
      <c r="D46" s="4">
        <v>14</v>
      </c>
      <c r="E46" s="4" t="s">
        <v>132</v>
      </c>
      <c r="F46" s="4" t="s">
        <v>160</v>
      </c>
      <c r="G46" s="4" t="str">
        <f>"39250322"</f>
        <v>39250322</v>
      </c>
      <c r="H46" s="4" t="str">
        <f>"MESA DE REUNIONES CIRCULAR 1900MM DE DIAMETRO 4P"</f>
        <v>MESA DE REUNIONES CIRCULAR 1900MM DE DIAMETRO 4P</v>
      </c>
      <c r="I46" s="4" t="str">
        <f t="shared" si="6"/>
        <v>N/A</v>
      </c>
      <c r="J46" s="4" t="s">
        <v>49</v>
      </c>
      <c r="K46" s="4"/>
      <c r="L46" s="9">
        <v>116</v>
      </c>
      <c r="M46" s="4" t="s">
        <v>49</v>
      </c>
      <c r="N46" s="4" t="s">
        <v>161</v>
      </c>
      <c r="O46" s="4" t="s">
        <v>162</v>
      </c>
      <c r="P46" s="4" t="s">
        <v>163</v>
      </c>
      <c r="Q46" s="4" t="s">
        <v>54</v>
      </c>
      <c r="R46" s="4" t="s">
        <v>55</v>
      </c>
      <c r="S46" s="4" t="s">
        <v>56</v>
      </c>
      <c r="T46" s="4">
        <v>6</v>
      </c>
      <c r="U46" s="4" t="s">
        <v>57</v>
      </c>
      <c r="V46" s="4">
        <v>97459</v>
      </c>
      <c r="W46" s="4" t="s">
        <v>58</v>
      </c>
      <c r="X46" s="4">
        <v>1709796500</v>
      </c>
      <c r="Y46" s="4" t="s">
        <v>157</v>
      </c>
      <c r="Z46" s="4" t="s">
        <v>55</v>
      </c>
      <c r="AA46" s="4" t="s">
        <v>60</v>
      </c>
      <c r="AB46" s="4" t="s">
        <v>61</v>
      </c>
      <c r="AC46" s="4">
        <v>443</v>
      </c>
      <c r="AD46" s="4" t="s">
        <v>62</v>
      </c>
      <c r="AE46" s="4" t="s">
        <v>55</v>
      </c>
      <c r="AF46" s="4" t="s">
        <v>55</v>
      </c>
      <c r="AG46" s="4" t="s">
        <v>165</v>
      </c>
      <c r="AH46" s="4">
        <v>840103</v>
      </c>
      <c r="AI46" s="4" t="s">
        <v>139</v>
      </c>
      <c r="AJ46" s="4" t="s">
        <v>55</v>
      </c>
      <c r="AK46" s="5">
        <v>45609</v>
      </c>
      <c r="AL46" s="6">
        <v>45610</v>
      </c>
      <c r="AM46" s="6">
        <v>46081</v>
      </c>
      <c r="AN46" s="4">
        <v>10</v>
      </c>
      <c r="AO46" s="6">
        <v>49259</v>
      </c>
      <c r="AP46" s="9">
        <v>116</v>
      </c>
      <c r="AQ46" s="9">
        <v>11.6</v>
      </c>
      <c r="AR46" s="9">
        <v>102.48</v>
      </c>
      <c r="AS46" s="9">
        <v>13.52</v>
      </c>
      <c r="AT46" s="4" t="s">
        <v>49</v>
      </c>
    </row>
    <row r="47" spans="1:46" ht="105" hidden="1" x14ac:dyDescent="0.25">
      <c r="A47" s="4">
        <v>39250323</v>
      </c>
      <c r="B47" s="4" t="str">
        <f>""</f>
        <v/>
      </c>
      <c r="C47" s="4" t="str">
        <f>"300100280006"</f>
        <v>300100280006</v>
      </c>
      <c r="D47" s="4">
        <v>14</v>
      </c>
      <c r="E47" s="4" t="s">
        <v>132</v>
      </c>
      <c r="F47" s="4" t="s">
        <v>172</v>
      </c>
      <c r="G47" s="4" t="str">
        <f>"39250323"</f>
        <v>39250323</v>
      </c>
      <c r="H47" s="4" t="str">
        <f>"SILLA CHUKUY"</f>
        <v>SILLA CHUKUY</v>
      </c>
      <c r="I47" s="4" t="str">
        <f t="shared" si="6"/>
        <v>N/A</v>
      </c>
      <c r="J47" s="4" t="s">
        <v>49</v>
      </c>
      <c r="K47" s="4"/>
      <c r="L47" s="9">
        <v>77.77</v>
      </c>
      <c r="M47" s="4" t="s">
        <v>49</v>
      </c>
      <c r="N47" s="4" t="s">
        <v>174</v>
      </c>
      <c r="O47" s="4" t="s">
        <v>175</v>
      </c>
      <c r="P47" s="4" t="s">
        <v>176</v>
      </c>
      <c r="Q47" s="4" t="s">
        <v>54</v>
      </c>
      <c r="R47" s="4" t="s">
        <v>55</v>
      </c>
      <c r="S47" s="4" t="s">
        <v>56</v>
      </c>
      <c r="T47" s="4">
        <v>6</v>
      </c>
      <c r="U47" s="4" t="s">
        <v>57</v>
      </c>
      <c r="V47" s="4">
        <v>97459</v>
      </c>
      <c r="W47" s="4" t="s">
        <v>58</v>
      </c>
      <c r="X47" s="4">
        <v>1711995694</v>
      </c>
      <c r="Y47" s="4" t="s">
        <v>169</v>
      </c>
      <c r="Z47" s="4" t="s">
        <v>55</v>
      </c>
      <c r="AA47" s="4" t="s">
        <v>60</v>
      </c>
      <c r="AB47" s="4" t="s">
        <v>61</v>
      </c>
      <c r="AC47" s="4">
        <v>443</v>
      </c>
      <c r="AD47" s="4" t="s">
        <v>62</v>
      </c>
      <c r="AE47" s="4" t="s">
        <v>55</v>
      </c>
      <c r="AF47" s="4" t="s">
        <v>55</v>
      </c>
      <c r="AG47" s="4" t="s">
        <v>165</v>
      </c>
      <c r="AH47" s="4">
        <v>840103</v>
      </c>
      <c r="AI47" s="4" t="s">
        <v>139</v>
      </c>
      <c r="AJ47" s="4" t="s">
        <v>55</v>
      </c>
      <c r="AK47" s="5">
        <v>45609</v>
      </c>
      <c r="AL47" s="6">
        <v>45610</v>
      </c>
      <c r="AM47" s="6">
        <v>46081</v>
      </c>
      <c r="AN47" s="4">
        <v>10</v>
      </c>
      <c r="AO47" s="6">
        <v>49259</v>
      </c>
      <c r="AP47" s="9">
        <v>77.77</v>
      </c>
      <c r="AQ47" s="9">
        <v>7.78</v>
      </c>
      <c r="AR47" s="9">
        <v>68.709999999999994</v>
      </c>
      <c r="AS47" s="9">
        <v>9.06</v>
      </c>
      <c r="AT47" s="4" t="s">
        <v>49</v>
      </c>
    </row>
    <row r="48" spans="1:46" ht="105" hidden="1" x14ac:dyDescent="0.25">
      <c r="A48" s="4">
        <v>39250324</v>
      </c>
      <c r="B48" s="4" t="str">
        <f>""</f>
        <v/>
      </c>
      <c r="C48" s="4" t="str">
        <f>"300100280006"</f>
        <v>300100280006</v>
      </c>
      <c r="D48" s="4">
        <v>14</v>
      </c>
      <c r="E48" s="4" t="s">
        <v>132</v>
      </c>
      <c r="F48" s="4" t="s">
        <v>172</v>
      </c>
      <c r="G48" s="4" t="str">
        <f>"39250324"</f>
        <v>39250324</v>
      </c>
      <c r="H48" s="4" t="str">
        <f>"SILLA CHUKUY"</f>
        <v>SILLA CHUKUY</v>
      </c>
      <c r="I48" s="4" t="str">
        <f t="shared" si="6"/>
        <v>N/A</v>
      </c>
      <c r="J48" s="4" t="s">
        <v>49</v>
      </c>
      <c r="K48" s="4"/>
      <c r="L48" s="9">
        <v>77.77</v>
      </c>
      <c r="M48" s="4" t="s">
        <v>49</v>
      </c>
      <c r="N48" s="4" t="s">
        <v>174</v>
      </c>
      <c r="O48" s="4" t="s">
        <v>175</v>
      </c>
      <c r="P48" s="4" t="s">
        <v>176</v>
      </c>
      <c r="Q48" s="4" t="s">
        <v>54</v>
      </c>
      <c r="R48" s="4" t="s">
        <v>55</v>
      </c>
      <c r="S48" s="4" t="s">
        <v>56</v>
      </c>
      <c r="T48" s="4">
        <v>6</v>
      </c>
      <c r="U48" s="4" t="s">
        <v>57</v>
      </c>
      <c r="V48" s="4">
        <v>97459</v>
      </c>
      <c r="W48" s="4" t="s">
        <v>58</v>
      </c>
      <c r="X48" s="4">
        <v>1709796500</v>
      </c>
      <c r="Y48" s="4" t="s">
        <v>157</v>
      </c>
      <c r="Z48" s="4" t="s">
        <v>55</v>
      </c>
      <c r="AA48" s="4" t="s">
        <v>60</v>
      </c>
      <c r="AB48" s="4" t="s">
        <v>61</v>
      </c>
      <c r="AC48" s="4">
        <v>443</v>
      </c>
      <c r="AD48" s="4" t="s">
        <v>62</v>
      </c>
      <c r="AE48" s="4" t="s">
        <v>55</v>
      </c>
      <c r="AF48" s="4" t="s">
        <v>55</v>
      </c>
      <c r="AG48" s="4" t="s">
        <v>165</v>
      </c>
      <c r="AH48" s="4">
        <v>840103</v>
      </c>
      <c r="AI48" s="4" t="s">
        <v>139</v>
      </c>
      <c r="AJ48" s="4" t="s">
        <v>55</v>
      </c>
      <c r="AK48" s="5">
        <v>45609</v>
      </c>
      <c r="AL48" s="6">
        <v>45610</v>
      </c>
      <c r="AM48" s="6">
        <v>46081</v>
      </c>
      <c r="AN48" s="4">
        <v>10</v>
      </c>
      <c r="AO48" s="6">
        <v>49259</v>
      </c>
      <c r="AP48" s="9">
        <v>77.77</v>
      </c>
      <c r="AQ48" s="9">
        <v>7.78</v>
      </c>
      <c r="AR48" s="9">
        <v>68.709999999999994</v>
      </c>
      <c r="AS48" s="9">
        <v>9.06</v>
      </c>
      <c r="AT48" s="4" t="s">
        <v>49</v>
      </c>
    </row>
    <row r="49" spans="1:46" ht="105" hidden="1" x14ac:dyDescent="0.25">
      <c r="A49" s="4">
        <v>39250325</v>
      </c>
      <c r="B49" s="4" t="str">
        <f>""</f>
        <v/>
      </c>
      <c r="C49" s="4" t="str">
        <f>"300100280006"</f>
        <v>300100280006</v>
      </c>
      <c r="D49" s="4">
        <v>14</v>
      </c>
      <c r="E49" s="4" t="s">
        <v>132</v>
      </c>
      <c r="F49" s="4" t="s">
        <v>172</v>
      </c>
      <c r="G49" s="4" t="str">
        <f>"39250325"</f>
        <v>39250325</v>
      </c>
      <c r="H49" s="4" t="str">
        <f>"SILLA CHUKUY"</f>
        <v>SILLA CHUKUY</v>
      </c>
      <c r="I49" s="4" t="str">
        <f t="shared" si="6"/>
        <v>N/A</v>
      </c>
      <c r="J49" s="4" t="s">
        <v>49</v>
      </c>
      <c r="K49" s="4"/>
      <c r="L49" s="9">
        <v>77.77</v>
      </c>
      <c r="M49" s="4" t="s">
        <v>49</v>
      </c>
      <c r="N49" s="4" t="s">
        <v>174</v>
      </c>
      <c r="O49" s="4" t="s">
        <v>175</v>
      </c>
      <c r="P49" s="4" t="s">
        <v>176</v>
      </c>
      <c r="Q49" s="4" t="s">
        <v>54</v>
      </c>
      <c r="R49" s="4" t="s">
        <v>55</v>
      </c>
      <c r="S49" s="4" t="s">
        <v>56</v>
      </c>
      <c r="T49" s="4">
        <v>6</v>
      </c>
      <c r="U49" s="4" t="s">
        <v>57</v>
      </c>
      <c r="V49" s="4">
        <v>97459</v>
      </c>
      <c r="W49" s="4" t="s">
        <v>58</v>
      </c>
      <c r="X49" s="4">
        <v>1717662512</v>
      </c>
      <c r="Y49" s="4" t="s">
        <v>71</v>
      </c>
      <c r="Z49" s="4" t="s">
        <v>55</v>
      </c>
      <c r="AA49" s="4" t="s">
        <v>60</v>
      </c>
      <c r="AB49" s="4" t="s">
        <v>61</v>
      </c>
      <c r="AC49" s="4">
        <v>443</v>
      </c>
      <c r="AD49" s="4" t="s">
        <v>62</v>
      </c>
      <c r="AE49" s="4" t="s">
        <v>55</v>
      </c>
      <c r="AF49" s="4" t="s">
        <v>55</v>
      </c>
      <c r="AG49" s="4" t="s">
        <v>165</v>
      </c>
      <c r="AH49" s="4">
        <v>840103</v>
      </c>
      <c r="AI49" s="4" t="s">
        <v>139</v>
      </c>
      <c r="AJ49" s="4" t="s">
        <v>55</v>
      </c>
      <c r="AK49" s="5">
        <v>45609</v>
      </c>
      <c r="AL49" s="6">
        <v>45610</v>
      </c>
      <c r="AM49" s="6">
        <v>46081</v>
      </c>
      <c r="AN49" s="4">
        <v>10</v>
      </c>
      <c r="AO49" s="6">
        <v>49259</v>
      </c>
      <c r="AP49" s="9">
        <v>77.77</v>
      </c>
      <c r="AQ49" s="9">
        <v>7.78</v>
      </c>
      <c r="AR49" s="9">
        <v>68.709999999999994</v>
      </c>
      <c r="AS49" s="9">
        <v>9.06</v>
      </c>
      <c r="AT49" s="4" t="s">
        <v>49</v>
      </c>
    </row>
    <row r="50" spans="1:46" ht="105" hidden="1" x14ac:dyDescent="0.25">
      <c r="A50" s="4">
        <v>39250326</v>
      </c>
      <c r="B50" s="4" t="str">
        <f>""</f>
        <v/>
      </c>
      <c r="C50" s="4" t="str">
        <f>"300100290002"</f>
        <v>300100290002</v>
      </c>
      <c r="D50" s="4">
        <v>14</v>
      </c>
      <c r="E50" s="4" t="s">
        <v>132</v>
      </c>
      <c r="F50" s="4" t="s">
        <v>180</v>
      </c>
      <c r="G50" s="4" t="str">
        <f>"39250326"</f>
        <v>39250326</v>
      </c>
      <c r="H50" s="4" t="str">
        <f>"SILLON QHAPAX"</f>
        <v>SILLON QHAPAX</v>
      </c>
      <c r="I50" s="4" t="str">
        <f t="shared" si="6"/>
        <v>N/A</v>
      </c>
      <c r="J50" s="4" t="s">
        <v>49</v>
      </c>
      <c r="K50" s="4"/>
      <c r="L50" s="9">
        <v>98.2</v>
      </c>
      <c r="M50" s="4" t="s">
        <v>49</v>
      </c>
      <c r="N50" s="4" t="s">
        <v>113</v>
      </c>
      <c r="O50" s="4" t="s">
        <v>182</v>
      </c>
      <c r="P50" s="4" t="s">
        <v>176</v>
      </c>
      <c r="Q50" s="4" t="s">
        <v>54</v>
      </c>
      <c r="R50" s="4" t="s">
        <v>55</v>
      </c>
      <c r="S50" s="4" t="s">
        <v>56</v>
      </c>
      <c r="T50" s="4">
        <v>6</v>
      </c>
      <c r="U50" s="4" t="s">
        <v>57</v>
      </c>
      <c r="V50" s="4">
        <v>97459</v>
      </c>
      <c r="W50" s="4" t="s">
        <v>58</v>
      </c>
      <c r="X50" s="4">
        <v>102936168</v>
      </c>
      <c r="Y50" s="4" t="s">
        <v>59</v>
      </c>
      <c r="Z50" s="4" t="s">
        <v>55</v>
      </c>
      <c r="AA50" s="4" t="s">
        <v>60</v>
      </c>
      <c r="AB50" s="4" t="s">
        <v>61</v>
      </c>
      <c r="AC50" s="4">
        <v>443</v>
      </c>
      <c r="AD50" s="4" t="s">
        <v>62</v>
      </c>
      <c r="AE50" s="4" t="s">
        <v>55</v>
      </c>
      <c r="AF50" s="4" t="s">
        <v>55</v>
      </c>
      <c r="AG50" s="4" t="s">
        <v>165</v>
      </c>
      <c r="AH50" s="4">
        <v>840103</v>
      </c>
      <c r="AI50" s="4" t="s">
        <v>139</v>
      </c>
      <c r="AJ50" s="4" t="s">
        <v>55</v>
      </c>
      <c r="AK50" s="5">
        <v>45609</v>
      </c>
      <c r="AL50" s="6">
        <v>45610</v>
      </c>
      <c r="AM50" s="6">
        <v>46081</v>
      </c>
      <c r="AN50" s="4">
        <v>10</v>
      </c>
      <c r="AO50" s="6">
        <v>49259</v>
      </c>
      <c r="AP50" s="9">
        <v>98.2</v>
      </c>
      <c r="AQ50" s="9">
        <v>9.82</v>
      </c>
      <c r="AR50" s="9">
        <v>86.76</v>
      </c>
      <c r="AS50" s="9">
        <v>11.44</v>
      </c>
      <c r="AT50" s="4" t="s">
        <v>49</v>
      </c>
    </row>
    <row r="51" spans="1:46" ht="105" hidden="1" x14ac:dyDescent="0.25">
      <c r="A51" s="4">
        <v>39250327</v>
      </c>
      <c r="B51" s="4" t="str">
        <f>""</f>
        <v/>
      </c>
      <c r="C51" s="4" t="str">
        <f>"300100300002"</f>
        <v>300100300002</v>
      </c>
      <c r="D51" s="4">
        <v>14</v>
      </c>
      <c r="E51" s="4" t="s">
        <v>132</v>
      </c>
      <c r="F51" s="4" t="s">
        <v>186</v>
      </c>
      <c r="G51" s="4" t="str">
        <f>"39250327"</f>
        <v>39250327</v>
      </c>
      <c r="H51" s="4" t="str">
        <f>"SOFÁ BIPERSONAL"</f>
        <v>SOFÁ BIPERSONAL</v>
      </c>
      <c r="I51" s="4" t="str">
        <f t="shared" si="6"/>
        <v>N/A</v>
      </c>
      <c r="J51" s="4" t="s">
        <v>49</v>
      </c>
      <c r="K51" s="4"/>
      <c r="L51" s="9">
        <v>129.9</v>
      </c>
      <c r="M51" s="4" t="s">
        <v>49</v>
      </c>
      <c r="N51" s="4" t="s">
        <v>174</v>
      </c>
      <c r="O51" s="4" t="s">
        <v>188</v>
      </c>
      <c r="P51" s="4" t="s">
        <v>189</v>
      </c>
      <c r="Q51" s="4" t="s">
        <v>54</v>
      </c>
      <c r="R51" s="4" t="s">
        <v>55</v>
      </c>
      <c r="S51" s="4" t="s">
        <v>56</v>
      </c>
      <c r="T51" s="4">
        <v>6</v>
      </c>
      <c r="U51" s="4" t="s">
        <v>57</v>
      </c>
      <c r="V51" s="4">
        <v>97459</v>
      </c>
      <c r="W51" s="4" t="s">
        <v>58</v>
      </c>
      <c r="X51" s="4">
        <v>1716349814</v>
      </c>
      <c r="Y51" s="4" t="s">
        <v>86</v>
      </c>
      <c r="Z51" s="4" t="s">
        <v>55</v>
      </c>
      <c r="AA51" s="4" t="s">
        <v>60</v>
      </c>
      <c r="AB51" s="4" t="s">
        <v>61</v>
      </c>
      <c r="AC51" s="4">
        <v>443</v>
      </c>
      <c r="AD51" s="4" t="s">
        <v>62</v>
      </c>
      <c r="AE51" s="4" t="s">
        <v>55</v>
      </c>
      <c r="AF51" s="4" t="s">
        <v>55</v>
      </c>
      <c r="AG51" s="4" t="s">
        <v>165</v>
      </c>
      <c r="AH51" s="4">
        <v>840103</v>
      </c>
      <c r="AI51" s="4" t="s">
        <v>139</v>
      </c>
      <c r="AJ51" s="4" t="s">
        <v>55</v>
      </c>
      <c r="AK51" s="5">
        <v>45609</v>
      </c>
      <c r="AL51" s="6">
        <v>45610</v>
      </c>
      <c r="AM51" s="6">
        <v>46081</v>
      </c>
      <c r="AN51" s="4">
        <v>10</v>
      </c>
      <c r="AO51" s="6">
        <v>49259</v>
      </c>
      <c r="AP51" s="9">
        <v>129.9</v>
      </c>
      <c r="AQ51" s="9">
        <v>12.99</v>
      </c>
      <c r="AR51" s="9">
        <v>114.81</v>
      </c>
      <c r="AS51" s="9">
        <v>15.09</v>
      </c>
      <c r="AT51" s="4" t="s">
        <v>49</v>
      </c>
    </row>
    <row r="52" spans="1:46" ht="105" hidden="1" x14ac:dyDescent="0.25">
      <c r="A52" s="4">
        <v>39250328</v>
      </c>
      <c r="B52" s="4" t="str">
        <f>""</f>
        <v/>
      </c>
      <c r="C52" s="4" t="str">
        <f>"300100410003"</f>
        <v>300100410003</v>
      </c>
      <c r="D52" s="4">
        <v>14</v>
      </c>
      <c r="E52" s="4" t="s">
        <v>132</v>
      </c>
      <c r="F52" s="4" t="s">
        <v>193</v>
      </c>
      <c r="G52" s="4" t="str">
        <f>"39250328"</f>
        <v>39250328</v>
      </c>
      <c r="H52" s="4" t="str">
        <f>"MESA SALA DE REUNIONES 12 PERSONAS"</f>
        <v>MESA SALA DE REUNIONES 12 PERSONAS</v>
      </c>
      <c r="I52" s="4" t="str">
        <f t="shared" si="6"/>
        <v>N/A</v>
      </c>
      <c r="J52" s="4" t="s">
        <v>49</v>
      </c>
      <c r="K52" s="4"/>
      <c r="L52" s="9">
        <v>919</v>
      </c>
      <c r="M52" s="4" t="s">
        <v>49</v>
      </c>
      <c r="N52" s="4" t="s">
        <v>194</v>
      </c>
      <c r="O52" s="4" t="s">
        <v>195</v>
      </c>
      <c r="P52" s="4" t="s">
        <v>196</v>
      </c>
      <c r="Q52" s="4" t="s">
        <v>54</v>
      </c>
      <c r="R52" s="4" t="s">
        <v>55</v>
      </c>
      <c r="S52" s="4" t="s">
        <v>56</v>
      </c>
      <c r="T52" s="4">
        <v>6</v>
      </c>
      <c r="U52" s="4" t="s">
        <v>57</v>
      </c>
      <c r="V52" s="4">
        <v>97459</v>
      </c>
      <c r="W52" s="4" t="s">
        <v>58</v>
      </c>
      <c r="X52" s="4">
        <v>1725514309</v>
      </c>
      <c r="Y52" s="4" t="s">
        <v>197</v>
      </c>
      <c r="Z52" s="4" t="s">
        <v>55</v>
      </c>
      <c r="AA52" s="4" t="s">
        <v>60</v>
      </c>
      <c r="AB52" s="4" t="s">
        <v>61</v>
      </c>
      <c r="AC52" s="4">
        <v>443</v>
      </c>
      <c r="AD52" s="4" t="s">
        <v>62</v>
      </c>
      <c r="AE52" s="4" t="s">
        <v>55</v>
      </c>
      <c r="AF52" s="4" t="s">
        <v>55</v>
      </c>
      <c r="AG52" s="4" t="s">
        <v>165</v>
      </c>
      <c r="AH52" s="4">
        <v>840103</v>
      </c>
      <c r="AI52" s="4" t="s">
        <v>139</v>
      </c>
      <c r="AJ52" s="4" t="s">
        <v>55</v>
      </c>
      <c r="AK52" s="5">
        <v>45609</v>
      </c>
      <c r="AL52" s="6">
        <v>45610</v>
      </c>
      <c r="AM52" s="6">
        <v>46081</v>
      </c>
      <c r="AN52" s="4">
        <v>10</v>
      </c>
      <c r="AO52" s="6">
        <v>49259</v>
      </c>
      <c r="AP52" s="9">
        <v>919</v>
      </c>
      <c r="AQ52" s="9">
        <v>91.9</v>
      </c>
      <c r="AR52" s="9">
        <v>812.07</v>
      </c>
      <c r="AS52" s="9">
        <v>106.93</v>
      </c>
      <c r="AT52" s="4" t="s">
        <v>49</v>
      </c>
    </row>
    <row r="53" spans="1:46" ht="75" hidden="1" x14ac:dyDescent="0.25">
      <c r="A53" s="4">
        <v>39255007</v>
      </c>
      <c r="B53" s="4" t="str">
        <f>""</f>
        <v/>
      </c>
      <c r="C53" s="4" t="str">
        <f t="shared" ref="C53:C64" si="7">"300100290001"</f>
        <v>300100290001</v>
      </c>
      <c r="D53" s="4">
        <v>15</v>
      </c>
      <c r="E53" s="4" t="s">
        <v>132</v>
      </c>
      <c r="F53" s="4" t="s">
        <v>201</v>
      </c>
      <c r="G53" s="4" t="str">
        <f>"39255007"</f>
        <v>39255007</v>
      </c>
      <c r="H53" s="4" t="str">
        <f t="shared" ref="H53:H64" si="8">"SILLON QHAPAX VISITA"</f>
        <v>SILLON QHAPAX VISITA</v>
      </c>
      <c r="I53" s="4" t="str">
        <f t="shared" si="6"/>
        <v>N/A</v>
      </c>
      <c r="J53" s="4" t="s">
        <v>49</v>
      </c>
      <c r="K53" s="4"/>
      <c r="L53" s="9">
        <v>87.77</v>
      </c>
      <c r="M53" s="4" t="s">
        <v>49</v>
      </c>
      <c r="N53" s="4" t="s">
        <v>113</v>
      </c>
      <c r="O53" s="4" t="s">
        <v>203</v>
      </c>
      <c r="P53" s="4" t="s">
        <v>204</v>
      </c>
      <c r="Q53" s="4" t="s">
        <v>54</v>
      </c>
      <c r="R53" s="4" t="s">
        <v>55</v>
      </c>
      <c r="S53" s="4" t="s">
        <v>56</v>
      </c>
      <c r="T53" s="4">
        <v>6</v>
      </c>
      <c r="U53" s="4" t="s">
        <v>57</v>
      </c>
      <c r="V53" s="4">
        <v>97459</v>
      </c>
      <c r="W53" s="4" t="s">
        <v>58</v>
      </c>
      <c r="X53" s="4">
        <v>1725514309</v>
      </c>
      <c r="Y53" s="4" t="s">
        <v>197</v>
      </c>
      <c r="Z53" s="4" t="s">
        <v>55</v>
      </c>
      <c r="AA53" s="4" t="s">
        <v>60</v>
      </c>
      <c r="AB53" s="4" t="s">
        <v>61</v>
      </c>
      <c r="AC53" s="4">
        <v>443</v>
      </c>
      <c r="AD53" s="4" t="s">
        <v>62</v>
      </c>
      <c r="AE53" s="4" t="s">
        <v>55</v>
      </c>
      <c r="AF53" s="4" t="s">
        <v>55</v>
      </c>
      <c r="AG53" s="4" t="s">
        <v>205</v>
      </c>
      <c r="AH53" s="4">
        <v>840103</v>
      </c>
      <c r="AI53" s="4" t="s">
        <v>139</v>
      </c>
      <c r="AJ53" s="4" t="s">
        <v>55</v>
      </c>
      <c r="AK53" s="5">
        <v>45610</v>
      </c>
      <c r="AL53" s="6">
        <v>45611</v>
      </c>
      <c r="AM53" s="6">
        <v>46081</v>
      </c>
      <c r="AN53" s="4">
        <v>10</v>
      </c>
      <c r="AO53" s="6">
        <v>49260</v>
      </c>
      <c r="AP53" s="9">
        <v>87.77</v>
      </c>
      <c r="AQ53" s="9">
        <v>8.7799999999999994</v>
      </c>
      <c r="AR53" s="9">
        <v>77.569999999999993</v>
      </c>
      <c r="AS53" s="9">
        <v>10.199999999999999</v>
      </c>
      <c r="AT53" s="4" t="s">
        <v>49</v>
      </c>
    </row>
    <row r="54" spans="1:46" ht="75" hidden="1" x14ac:dyDescent="0.25">
      <c r="A54" s="4">
        <v>39255008</v>
      </c>
      <c r="B54" s="4" t="str">
        <f>""</f>
        <v/>
      </c>
      <c r="C54" s="4" t="str">
        <f t="shared" si="7"/>
        <v>300100290001</v>
      </c>
      <c r="D54" s="4">
        <v>15</v>
      </c>
      <c r="E54" s="4" t="s">
        <v>132</v>
      </c>
      <c r="F54" s="4" t="s">
        <v>201</v>
      </c>
      <c r="G54" s="4" t="str">
        <f>"39255008"</f>
        <v>39255008</v>
      </c>
      <c r="H54" s="4" t="str">
        <f t="shared" si="8"/>
        <v>SILLON QHAPAX VISITA</v>
      </c>
      <c r="I54" s="4" t="str">
        <f t="shared" si="6"/>
        <v>N/A</v>
      </c>
      <c r="J54" s="4" t="s">
        <v>49</v>
      </c>
      <c r="K54" s="4"/>
      <c r="L54" s="9">
        <v>87.77</v>
      </c>
      <c r="M54" s="4" t="s">
        <v>49</v>
      </c>
      <c r="N54" s="4" t="s">
        <v>113</v>
      </c>
      <c r="O54" s="4" t="s">
        <v>203</v>
      </c>
      <c r="P54" s="4" t="s">
        <v>204</v>
      </c>
      <c r="Q54" s="4" t="s">
        <v>54</v>
      </c>
      <c r="R54" s="4" t="s">
        <v>55</v>
      </c>
      <c r="S54" s="4" t="s">
        <v>56</v>
      </c>
      <c r="T54" s="4">
        <v>6</v>
      </c>
      <c r="U54" s="4" t="s">
        <v>57</v>
      </c>
      <c r="V54" s="4">
        <v>97459</v>
      </c>
      <c r="W54" s="4" t="s">
        <v>58</v>
      </c>
      <c r="X54" s="4">
        <v>1725514309</v>
      </c>
      <c r="Y54" s="4" t="s">
        <v>197</v>
      </c>
      <c r="Z54" s="4" t="s">
        <v>55</v>
      </c>
      <c r="AA54" s="4" t="s">
        <v>60</v>
      </c>
      <c r="AB54" s="4" t="s">
        <v>61</v>
      </c>
      <c r="AC54" s="4">
        <v>443</v>
      </c>
      <c r="AD54" s="4" t="s">
        <v>62</v>
      </c>
      <c r="AE54" s="4" t="s">
        <v>55</v>
      </c>
      <c r="AF54" s="4" t="s">
        <v>55</v>
      </c>
      <c r="AG54" s="4" t="s">
        <v>205</v>
      </c>
      <c r="AH54" s="4">
        <v>840103</v>
      </c>
      <c r="AI54" s="4" t="s">
        <v>139</v>
      </c>
      <c r="AJ54" s="4" t="s">
        <v>55</v>
      </c>
      <c r="AK54" s="5">
        <v>45610</v>
      </c>
      <c r="AL54" s="6">
        <v>45611</v>
      </c>
      <c r="AM54" s="6">
        <v>46081</v>
      </c>
      <c r="AN54" s="4">
        <v>10</v>
      </c>
      <c r="AO54" s="6">
        <v>49260</v>
      </c>
      <c r="AP54" s="9">
        <v>87.77</v>
      </c>
      <c r="AQ54" s="9">
        <v>8.7799999999999994</v>
      </c>
      <c r="AR54" s="9">
        <v>77.569999999999993</v>
      </c>
      <c r="AS54" s="9">
        <v>10.199999999999999</v>
      </c>
      <c r="AT54" s="4" t="s">
        <v>49</v>
      </c>
    </row>
    <row r="55" spans="1:46" ht="75" hidden="1" x14ac:dyDescent="0.25">
      <c r="A55" s="4">
        <v>39255009</v>
      </c>
      <c r="B55" s="4" t="str">
        <f>""</f>
        <v/>
      </c>
      <c r="C55" s="4" t="str">
        <f t="shared" si="7"/>
        <v>300100290001</v>
      </c>
      <c r="D55" s="4">
        <v>15</v>
      </c>
      <c r="E55" s="4" t="s">
        <v>132</v>
      </c>
      <c r="F55" s="4" t="s">
        <v>201</v>
      </c>
      <c r="G55" s="4" t="str">
        <f>"39255009"</f>
        <v>39255009</v>
      </c>
      <c r="H55" s="4" t="str">
        <f t="shared" si="8"/>
        <v>SILLON QHAPAX VISITA</v>
      </c>
      <c r="I55" s="4" t="str">
        <f t="shared" si="6"/>
        <v>N/A</v>
      </c>
      <c r="J55" s="4" t="s">
        <v>49</v>
      </c>
      <c r="K55" s="4"/>
      <c r="L55" s="9">
        <v>87.77</v>
      </c>
      <c r="M55" s="4" t="s">
        <v>49</v>
      </c>
      <c r="N55" s="4" t="s">
        <v>113</v>
      </c>
      <c r="O55" s="4" t="s">
        <v>203</v>
      </c>
      <c r="P55" s="4" t="s">
        <v>204</v>
      </c>
      <c r="Q55" s="4" t="s">
        <v>54</v>
      </c>
      <c r="R55" s="4" t="s">
        <v>55</v>
      </c>
      <c r="S55" s="4" t="s">
        <v>56</v>
      </c>
      <c r="T55" s="4">
        <v>6</v>
      </c>
      <c r="U55" s="4" t="s">
        <v>57</v>
      </c>
      <c r="V55" s="4">
        <v>97459</v>
      </c>
      <c r="W55" s="4" t="s">
        <v>58</v>
      </c>
      <c r="X55" s="4">
        <v>1725514309</v>
      </c>
      <c r="Y55" s="4" t="s">
        <v>197</v>
      </c>
      <c r="Z55" s="4" t="s">
        <v>55</v>
      </c>
      <c r="AA55" s="4" t="s">
        <v>60</v>
      </c>
      <c r="AB55" s="4" t="s">
        <v>61</v>
      </c>
      <c r="AC55" s="4">
        <v>443</v>
      </c>
      <c r="AD55" s="4" t="s">
        <v>62</v>
      </c>
      <c r="AE55" s="4" t="s">
        <v>55</v>
      </c>
      <c r="AF55" s="4" t="s">
        <v>55</v>
      </c>
      <c r="AG55" s="4" t="s">
        <v>205</v>
      </c>
      <c r="AH55" s="4">
        <v>840103</v>
      </c>
      <c r="AI55" s="4" t="s">
        <v>139</v>
      </c>
      <c r="AJ55" s="4" t="s">
        <v>55</v>
      </c>
      <c r="AK55" s="5">
        <v>45610</v>
      </c>
      <c r="AL55" s="6">
        <v>45611</v>
      </c>
      <c r="AM55" s="6">
        <v>46081</v>
      </c>
      <c r="AN55" s="4">
        <v>10</v>
      </c>
      <c r="AO55" s="6">
        <v>49260</v>
      </c>
      <c r="AP55" s="9">
        <v>87.77</v>
      </c>
      <c r="AQ55" s="9">
        <v>8.7799999999999994</v>
      </c>
      <c r="AR55" s="9">
        <v>77.569999999999993</v>
      </c>
      <c r="AS55" s="9">
        <v>10.199999999999999</v>
      </c>
      <c r="AT55" s="4" t="s">
        <v>49</v>
      </c>
    </row>
    <row r="56" spans="1:46" ht="75" hidden="1" x14ac:dyDescent="0.25">
      <c r="A56" s="4">
        <v>39255010</v>
      </c>
      <c r="B56" s="4" t="str">
        <f>""</f>
        <v/>
      </c>
      <c r="C56" s="4" t="str">
        <f t="shared" si="7"/>
        <v>300100290001</v>
      </c>
      <c r="D56" s="4">
        <v>15</v>
      </c>
      <c r="E56" s="4" t="s">
        <v>132</v>
      </c>
      <c r="F56" s="4" t="s">
        <v>201</v>
      </c>
      <c r="G56" s="4" t="str">
        <f>"39255010"</f>
        <v>39255010</v>
      </c>
      <c r="H56" s="4" t="str">
        <f t="shared" si="8"/>
        <v>SILLON QHAPAX VISITA</v>
      </c>
      <c r="I56" s="4" t="str">
        <f t="shared" si="6"/>
        <v>N/A</v>
      </c>
      <c r="J56" s="4" t="s">
        <v>49</v>
      </c>
      <c r="K56" s="4"/>
      <c r="L56" s="9">
        <v>87.77</v>
      </c>
      <c r="M56" s="4" t="s">
        <v>49</v>
      </c>
      <c r="N56" s="4" t="s">
        <v>113</v>
      </c>
      <c r="O56" s="4" t="s">
        <v>203</v>
      </c>
      <c r="P56" s="4" t="s">
        <v>204</v>
      </c>
      <c r="Q56" s="4" t="s">
        <v>54</v>
      </c>
      <c r="R56" s="4" t="s">
        <v>55</v>
      </c>
      <c r="S56" s="4" t="s">
        <v>56</v>
      </c>
      <c r="T56" s="4">
        <v>6</v>
      </c>
      <c r="U56" s="4" t="s">
        <v>57</v>
      </c>
      <c r="V56" s="4">
        <v>97459</v>
      </c>
      <c r="W56" s="4" t="s">
        <v>58</v>
      </c>
      <c r="X56" s="4">
        <v>1725514309</v>
      </c>
      <c r="Y56" s="4" t="s">
        <v>197</v>
      </c>
      <c r="Z56" s="4" t="s">
        <v>55</v>
      </c>
      <c r="AA56" s="4" t="s">
        <v>60</v>
      </c>
      <c r="AB56" s="4" t="s">
        <v>61</v>
      </c>
      <c r="AC56" s="4">
        <v>443</v>
      </c>
      <c r="AD56" s="4" t="s">
        <v>62</v>
      </c>
      <c r="AE56" s="4" t="s">
        <v>55</v>
      </c>
      <c r="AF56" s="4" t="s">
        <v>55</v>
      </c>
      <c r="AG56" s="4" t="s">
        <v>205</v>
      </c>
      <c r="AH56" s="4">
        <v>840103</v>
      </c>
      <c r="AI56" s="4" t="s">
        <v>139</v>
      </c>
      <c r="AJ56" s="4" t="s">
        <v>55</v>
      </c>
      <c r="AK56" s="5">
        <v>45610</v>
      </c>
      <c r="AL56" s="6">
        <v>45611</v>
      </c>
      <c r="AM56" s="6">
        <v>46081</v>
      </c>
      <c r="AN56" s="4">
        <v>10</v>
      </c>
      <c r="AO56" s="6">
        <v>49260</v>
      </c>
      <c r="AP56" s="9">
        <v>87.77</v>
      </c>
      <c r="AQ56" s="9">
        <v>8.7799999999999994</v>
      </c>
      <c r="AR56" s="9">
        <v>77.569999999999993</v>
      </c>
      <c r="AS56" s="9">
        <v>10.199999999999999</v>
      </c>
      <c r="AT56" s="4" t="s">
        <v>49</v>
      </c>
    </row>
    <row r="57" spans="1:46" ht="75" hidden="1" x14ac:dyDescent="0.25">
      <c r="A57" s="4">
        <v>39255011</v>
      </c>
      <c r="B57" s="4" t="str">
        <f>""</f>
        <v/>
      </c>
      <c r="C57" s="4" t="str">
        <f t="shared" si="7"/>
        <v>300100290001</v>
      </c>
      <c r="D57" s="4">
        <v>15</v>
      </c>
      <c r="E57" s="4" t="s">
        <v>132</v>
      </c>
      <c r="F57" s="4" t="s">
        <v>201</v>
      </c>
      <c r="G57" s="4" t="str">
        <f>"39255011"</f>
        <v>39255011</v>
      </c>
      <c r="H57" s="4" t="str">
        <f t="shared" si="8"/>
        <v>SILLON QHAPAX VISITA</v>
      </c>
      <c r="I57" s="4" t="str">
        <f t="shared" si="6"/>
        <v>N/A</v>
      </c>
      <c r="J57" s="4" t="s">
        <v>49</v>
      </c>
      <c r="K57" s="4"/>
      <c r="L57" s="9">
        <v>87.77</v>
      </c>
      <c r="M57" s="4" t="s">
        <v>49</v>
      </c>
      <c r="N57" s="4" t="s">
        <v>113</v>
      </c>
      <c r="O57" s="4" t="s">
        <v>203</v>
      </c>
      <c r="P57" s="4" t="s">
        <v>204</v>
      </c>
      <c r="Q57" s="4" t="s">
        <v>54</v>
      </c>
      <c r="R57" s="4" t="s">
        <v>55</v>
      </c>
      <c r="S57" s="4" t="s">
        <v>56</v>
      </c>
      <c r="T57" s="4">
        <v>6</v>
      </c>
      <c r="U57" s="4" t="s">
        <v>57</v>
      </c>
      <c r="V57" s="4">
        <v>97459</v>
      </c>
      <c r="W57" s="4" t="s">
        <v>58</v>
      </c>
      <c r="X57" s="4">
        <v>1725514309</v>
      </c>
      <c r="Y57" s="4" t="s">
        <v>197</v>
      </c>
      <c r="Z57" s="4" t="s">
        <v>55</v>
      </c>
      <c r="AA57" s="4" t="s">
        <v>60</v>
      </c>
      <c r="AB57" s="4" t="s">
        <v>61</v>
      </c>
      <c r="AC57" s="4">
        <v>443</v>
      </c>
      <c r="AD57" s="4" t="s">
        <v>62</v>
      </c>
      <c r="AE57" s="4" t="s">
        <v>55</v>
      </c>
      <c r="AF57" s="4" t="s">
        <v>55</v>
      </c>
      <c r="AG57" s="4" t="s">
        <v>205</v>
      </c>
      <c r="AH57" s="4">
        <v>840103</v>
      </c>
      <c r="AI57" s="4" t="s">
        <v>139</v>
      </c>
      <c r="AJ57" s="4" t="s">
        <v>55</v>
      </c>
      <c r="AK57" s="5">
        <v>45610</v>
      </c>
      <c r="AL57" s="6">
        <v>45611</v>
      </c>
      <c r="AM57" s="6">
        <v>46081</v>
      </c>
      <c r="AN57" s="4">
        <v>10</v>
      </c>
      <c r="AO57" s="6">
        <v>49260</v>
      </c>
      <c r="AP57" s="9">
        <v>87.77</v>
      </c>
      <c r="AQ57" s="9">
        <v>8.7799999999999994</v>
      </c>
      <c r="AR57" s="9">
        <v>77.569999999999993</v>
      </c>
      <c r="AS57" s="9">
        <v>10.199999999999999</v>
      </c>
      <c r="AT57" s="4" t="s">
        <v>49</v>
      </c>
    </row>
    <row r="58" spans="1:46" ht="75" hidden="1" x14ac:dyDescent="0.25">
      <c r="A58" s="4">
        <v>39255012</v>
      </c>
      <c r="B58" s="4" t="str">
        <f>""</f>
        <v/>
      </c>
      <c r="C58" s="4" t="str">
        <f t="shared" si="7"/>
        <v>300100290001</v>
      </c>
      <c r="D58" s="4">
        <v>15</v>
      </c>
      <c r="E58" s="4" t="s">
        <v>132</v>
      </c>
      <c r="F58" s="4" t="s">
        <v>201</v>
      </c>
      <c r="G58" s="4" t="str">
        <f>"39255012"</f>
        <v>39255012</v>
      </c>
      <c r="H58" s="4" t="str">
        <f t="shared" si="8"/>
        <v>SILLON QHAPAX VISITA</v>
      </c>
      <c r="I58" s="4" t="str">
        <f t="shared" si="6"/>
        <v>N/A</v>
      </c>
      <c r="J58" s="4" t="s">
        <v>49</v>
      </c>
      <c r="K58" s="4"/>
      <c r="L58" s="9">
        <v>87.77</v>
      </c>
      <c r="M58" s="4" t="s">
        <v>49</v>
      </c>
      <c r="N58" s="4" t="s">
        <v>113</v>
      </c>
      <c r="O58" s="4" t="s">
        <v>203</v>
      </c>
      <c r="P58" s="4" t="s">
        <v>204</v>
      </c>
      <c r="Q58" s="4" t="s">
        <v>54</v>
      </c>
      <c r="R58" s="4" t="s">
        <v>55</v>
      </c>
      <c r="S58" s="4" t="s">
        <v>56</v>
      </c>
      <c r="T58" s="4">
        <v>6</v>
      </c>
      <c r="U58" s="4" t="s">
        <v>57</v>
      </c>
      <c r="V58" s="4">
        <v>97459</v>
      </c>
      <c r="W58" s="4" t="s">
        <v>58</v>
      </c>
      <c r="X58" s="4">
        <v>1725514309</v>
      </c>
      <c r="Y58" s="4" t="s">
        <v>197</v>
      </c>
      <c r="Z58" s="4" t="s">
        <v>55</v>
      </c>
      <c r="AA58" s="4" t="s">
        <v>60</v>
      </c>
      <c r="AB58" s="4" t="s">
        <v>61</v>
      </c>
      <c r="AC58" s="4">
        <v>443</v>
      </c>
      <c r="AD58" s="4" t="s">
        <v>62</v>
      </c>
      <c r="AE58" s="4" t="s">
        <v>55</v>
      </c>
      <c r="AF58" s="4" t="s">
        <v>55</v>
      </c>
      <c r="AG58" s="4" t="s">
        <v>205</v>
      </c>
      <c r="AH58" s="4">
        <v>840103</v>
      </c>
      <c r="AI58" s="4" t="s">
        <v>139</v>
      </c>
      <c r="AJ58" s="4" t="s">
        <v>55</v>
      </c>
      <c r="AK58" s="5">
        <v>45610</v>
      </c>
      <c r="AL58" s="6">
        <v>45611</v>
      </c>
      <c r="AM58" s="6">
        <v>46081</v>
      </c>
      <c r="AN58" s="4">
        <v>10</v>
      </c>
      <c r="AO58" s="6">
        <v>49260</v>
      </c>
      <c r="AP58" s="9">
        <v>87.77</v>
      </c>
      <c r="AQ58" s="9">
        <v>8.7799999999999994</v>
      </c>
      <c r="AR58" s="9">
        <v>77.569999999999993</v>
      </c>
      <c r="AS58" s="9">
        <v>10.199999999999999</v>
      </c>
      <c r="AT58" s="4" t="s">
        <v>49</v>
      </c>
    </row>
    <row r="59" spans="1:46" ht="75" hidden="1" x14ac:dyDescent="0.25">
      <c r="A59" s="4">
        <v>39255013</v>
      </c>
      <c r="B59" s="4" t="str">
        <f>""</f>
        <v/>
      </c>
      <c r="C59" s="4" t="str">
        <f t="shared" si="7"/>
        <v>300100290001</v>
      </c>
      <c r="D59" s="4">
        <v>15</v>
      </c>
      <c r="E59" s="4" t="s">
        <v>132</v>
      </c>
      <c r="F59" s="4" t="s">
        <v>201</v>
      </c>
      <c r="G59" s="4" t="str">
        <f>"39255013"</f>
        <v>39255013</v>
      </c>
      <c r="H59" s="4" t="str">
        <f t="shared" si="8"/>
        <v>SILLON QHAPAX VISITA</v>
      </c>
      <c r="I59" s="4" t="str">
        <f t="shared" si="6"/>
        <v>N/A</v>
      </c>
      <c r="J59" s="4" t="s">
        <v>49</v>
      </c>
      <c r="K59" s="4"/>
      <c r="L59" s="9">
        <v>87.77</v>
      </c>
      <c r="M59" s="4" t="s">
        <v>49</v>
      </c>
      <c r="N59" s="4" t="s">
        <v>113</v>
      </c>
      <c r="O59" s="4" t="s">
        <v>203</v>
      </c>
      <c r="P59" s="4" t="s">
        <v>204</v>
      </c>
      <c r="Q59" s="4" t="s">
        <v>54</v>
      </c>
      <c r="R59" s="4" t="s">
        <v>55</v>
      </c>
      <c r="S59" s="4" t="s">
        <v>56</v>
      </c>
      <c r="T59" s="4">
        <v>6</v>
      </c>
      <c r="U59" s="4" t="s">
        <v>57</v>
      </c>
      <c r="V59" s="4">
        <v>97459</v>
      </c>
      <c r="W59" s="4" t="s">
        <v>58</v>
      </c>
      <c r="X59" s="4">
        <v>1725514309</v>
      </c>
      <c r="Y59" s="4" t="s">
        <v>197</v>
      </c>
      <c r="Z59" s="4" t="s">
        <v>55</v>
      </c>
      <c r="AA59" s="4" t="s">
        <v>60</v>
      </c>
      <c r="AB59" s="4" t="s">
        <v>61</v>
      </c>
      <c r="AC59" s="4">
        <v>443</v>
      </c>
      <c r="AD59" s="4" t="s">
        <v>62</v>
      </c>
      <c r="AE59" s="4" t="s">
        <v>55</v>
      </c>
      <c r="AF59" s="4" t="s">
        <v>55</v>
      </c>
      <c r="AG59" s="4" t="s">
        <v>205</v>
      </c>
      <c r="AH59" s="4">
        <v>840103</v>
      </c>
      <c r="AI59" s="4" t="s">
        <v>139</v>
      </c>
      <c r="AJ59" s="4" t="s">
        <v>55</v>
      </c>
      <c r="AK59" s="5">
        <v>45610</v>
      </c>
      <c r="AL59" s="6">
        <v>45611</v>
      </c>
      <c r="AM59" s="6">
        <v>46081</v>
      </c>
      <c r="AN59" s="4">
        <v>10</v>
      </c>
      <c r="AO59" s="6">
        <v>49260</v>
      </c>
      <c r="AP59" s="9">
        <v>87.77</v>
      </c>
      <c r="AQ59" s="9">
        <v>8.7799999999999994</v>
      </c>
      <c r="AR59" s="9">
        <v>77.569999999999993</v>
      </c>
      <c r="AS59" s="9">
        <v>10.199999999999999</v>
      </c>
      <c r="AT59" s="4" t="s">
        <v>49</v>
      </c>
    </row>
    <row r="60" spans="1:46" ht="75" hidden="1" x14ac:dyDescent="0.25">
      <c r="A60" s="4">
        <v>39255014</v>
      </c>
      <c r="B60" s="4" t="str">
        <f>""</f>
        <v/>
      </c>
      <c r="C60" s="4" t="str">
        <f t="shared" si="7"/>
        <v>300100290001</v>
      </c>
      <c r="D60" s="4">
        <v>15</v>
      </c>
      <c r="E60" s="4" t="s">
        <v>132</v>
      </c>
      <c r="F60" s="4" t="s">
        <v>201</v>
      </c>
      <c r="G60" s="4" t="str">
        <f>"39255014"</f>
        <v>39255014</v>
      </c>
      <c r="H60" s="4" t="str">
        <f t="shared" si="8"/>
        <v>SILLON QHAPAX VISITA</v>
      </c>
      <c r="I60" s="4" t="str">
        <f t="shared" si="6"/>
        <v>N/A</v>
      </c>
      <c r="J60" s="4" t="s">
        <v>49</v>
      </c>
      <c r="K60" s="4"/>
      <c r="L60" s="9">
        <v>87.77</v>
      </c>
      <c r="M60" s="4" t="s">
        <v>49</v>
      </c>
      <c r="N60" s="4" t="s">
        <v>113</v>
      </c>
      <c r="O60" s="4" t="s">
        <v>203</v>
      </c>
      <c r="P60" s="4" t="s">
        <v>204</v>
      </c>
      <c r="Q60" s="4" t="s">
        <v>54</v>
      </c>
      <c r="R60" s="4" t="s">
        <v>55</v>
      </c>
      <c r="S60" s="4" t="s">
        <v>56</v>
      </c>
      <c r="T60" s="4">
        <v>6</v>
      </c>
      <c r="U60" s="4" t="s">
        <v>57</v>
      </c>
      <c r="V60" s="4">
        <v>97459</v>
      </c>
      <c r="W60" s="4" t="s">
        <v>58</v>
      </c>
      <c r="X60" s="4">
        <v>1725514309</v>
      </c>
      <c r="Y60" s="4" t="s">
        <v>197</v>
      </c>
      <c r="Z60" s="4" t="s">
        <v>55</v>
      </c>
      <c r="AA60" s="4" t="s">
        <v>60</v>
      </c>
      <c r="AB60" s="4" t="s">
        <v>61</v>
      </c>
      <c r="AC60" s="4">
        <v>443</v>
      </c>
      <c r="AD60" s="4" t="s">
        <v>62</v>
      </c>
      <c r="AE60" s="4" t="s">
        <v>55</v>
      </c>
      <c r="AF60" s="4" t="s">
        <v>55</v>
      </c>
      <c r="AG60" s="4" t="s">
        <v>205</v>
      </c>
      <c r="AH60" s="4">
        <v>840103</v>
      </c>
      <c r="AI60" s="4" t="s">
        <v>139</v>
      </c>
      <c r="AJ60" s="4" t="s">
        <v>55</v>
      </c>
      <c r="AK60" s="5">
        <v>45610</v>
      </c>
      <c r="AL60" s="6">
        <v>45611</v>
      </c>
      <c r="AM60" s="6">
        <v>46081</v>
      </c>
      <c r="AN60" s="4">
        <v>10</v>
      </c>
      <c r="AO60" s="6">
        <v>49260</v>
      </c>
      <c r="AP60" s="9">
        <v>87.77</v>
      </c>
      <c r="AQ60" s="9">
        <v>8.7799999999999994</v>
      </c>
      <c r="AR60" s="9">
        <v>77.569999999999993</v>
      </c>
      <c r="AS60" s="9">
        <v>10.199999999999999</v>
      </c>
      <c r="AT60" s="4" t="s">
        <v>49</v>
      </c>
    </row>
    <row r="61" spans="1:46" ht="75" hidden="1" x14ac:dyDescent="0.25">
      <c r="A61" s="4">
        <v>39255015</v>
      </c>
      <c r="B61" s="4" t="str">
        <f>""</f>
        <v/>
      </c>
      <c r="C61" s="4" t="str">
        <f t="shared" si="7"/>
        <v>300100290001</v>
      </c>
      <c r="D61" s="4">
        <v>15</v>
      </c>
      <c r="E61" s="4" t="s">
        <v>132</v>
      </c>
      <c r="F61" s="4" t="s">
        <v>201</v>
      </c>
      <c r="G61" s="4" t="str">
        <f>"39255015"</f>
        <v>39255015</v>
      </c>
      <c r="H61" s="4" t="str">
        <f t="shared" si="8"/>
        <v>SILLON QHAPAX VISITA</v>
      </c>
      <c r="I61" s="4" t="str">
        <f t="shared" si="6"/>
        <v>N/A</v>
      </c>
      <c r="J61" s="4" t="s">
        <v>49</v>
      </c>
      <c r="K61" s="4"/>
      <c r="L61" s="9">
        <v>87.77</v>
      </c>
      <c r="M61" s="4" t="s">
        <v>49</v>
      </c>
      <c r="N61" s="4" t="s">
        <v>113</v>
      </c>
      <c r="O61" s="4" t="s">
        <v>203</v>
      </c>
      <c r="P61" s="4" t="s">
        <v>204</v>
      </c>
      <c r="Q61" s="4" t="s">
        <v>54</v>
      </c>
      <c r="R61" s="4" t="s">
        <v>55</v>
      </c>
      <c r="S61" s="4" t="s">
        <v>56</v>
      </c>
      <c r="T61" s="4">
        <v>6</v>
      </c>
      <c r="U61" s="4" t="s">
        <v>57</v>
      </c>
      <c r="V61" s="4">
        <v>97459</v>
      </c>
      <c r="W61" s="4" t="s">
        <v>58</v>
      </c>
      <c r="X61" s="4">
        <v>1725514309</v>
      </c>
      <c r="Y61" s="4" t="s">
        <v>197</v>
      </c>
      <c r="Z61" s="4" t="s">
        <v>55</v>
      </c>
      <c r="AA61" s="4" t="s">
        <v>60</v>
      </c>
      <c r="AB61" s="4" t="s">
        <v>61</v>
      </c>
      <c r="AC61" s="4">
        <v>443</v>
      </c>
      <c r="AD61" s="4" t="s">
        <v>62</v>
      </c>
      <c r="AE61" s="4" t="s">
        <v>55</v>
      </c>
      <c r="AF61" s="4" t="s">
        <v>55</v>
      </c>
      <c r="AG61" s="4" t="s">
        <v>205</v>
      </c>
      <c r="AH61" s="4">
        <v>840103</v>
      </c>
      <c r="AI61" s="4" t="s">
        <v>139</v>
      </c>
      <c r="AJ61" s="4" t="s">
        <v>55</v>
      </c>
      <c r="AK61" s="5">
        <v>45610</v>
      </c>
      <c r="AL61" s="6">
        <v>45611</v>
      </c>
      <c r="AM61" s="6">
        <v>46081</v>
      </c>
      <c r="AN61" s="4">
        <v>10</v>
      </c>
      <c r="AO61" s="6">
        <v>49260</v>
      </c>
      <c r="AP61" s="9">
        <v>87.77</v>
      </c>
      <c r="AQ61" s="9">
        <v>8.7799999999999994</v>
      </c>
      <c r="AR61" s="9">
        <v>77.569999999999993</v>
      </c>
      <c r="AS61" s="9">
        <v>10.199999999999999</v>
      </c>
      <c r="AT61" s="4" t="s">
        <v>49</v>
      </c>
    </row>
    <row r="62" spans="1:46" ht="75" hidden="1" x14ac:dyDescent="0.25">
      <c r="A62" s="4">
        <v>39255016</v>
      </c>
      <c r="B62" s="4" t="str">
        <f>""</f>
        <v/>
      </c>
      <c r="C62" s="4" t="str">
        <f t="shared" si="7"/>
        <v>300100290001</v>
      </c>
      <c r="D62" s="4">
        <v>15</v>
      </c>
      <c r="E62" s="4" t="s">
        <v>132</v>
      </c>
      <c r="F62" s="4" t="s">
        <v>201</v>
      </c>
      <c r="G62" s="4" t="str">
        <f>"39255016"</f>
        <v>39255016</v>
      </c>
      <c r="H62" s="4" t="str">
        <f t="shared" si="8"/>
        <v>SILLON QHAPAX VISITA</v>
      </c>
      <c r="I62" s="4" t="str">
        <f t="shared" si="6"/>
        <v>N/A</v>
      </c>
      <c r="J62" s="4" t="s">
        <v>49</v>
      </c>
      <c r="K62" s="4"/>
      <c r="L62" s="9">
        <v>87.77</v>
      </c>
      <c r="M62" s="4" t="s">
        <v>49</v>
      </c>
      <c r="N62" s="4" t="s">
        <v>113</v>
      </c>
      <c r="O62" s="4" t="s">
        <v>203</v>
      </c>
      <c r="P62" s="4" t="s">
        <v>204</v>
      </c>
      <c r="Q62" s="4" t="s">
        <v>54</v>
      </c>
      <c r="R62" s="4" t="s">
        <v>55</v>
      </c>
      <c r="S62" s="4" t="s">
        <v>56</v>
      </c>
      <c r="T62" s="4">
        <v>6</v>
      </c>
      <c r="U62" s="4" t="s">
        <v>57</v>
      </c>
      <c r="V62" s="4">
        <v>97459</v>
      </c>
      <c r="W62" s="4" t="s">
        <v>58</v>
      </c>
      <c r="X62" s="4">
        <v>1725514309</v>
      </c>
      <c r="Y62" s="4" t="s">
        <v>197</v>
      </c>
      <c r="Z62" s="4" t="s">
        <v>55</v>
      </c>
      <c r="AA62" s="4" t="s">
        <v>60</v>
      </c>
      <c r="AB62" s="4" t="s">
        <v>61</v>
      </c>
      <c r="AC62" s="4">
        <v>443</v>
      </c>
      <c r="AD62" s="4" t="s">
        <v>62</v>
      </c>
      <c r="AE62" s="4" t="s">
        <v>55</v>
      </c>
      <c r="AF62" s="4" t="s">
        <v>55</v>
      </c>
      <c r="AG62" s="4" t="s">
        <v>205</v>
      </c>
      <c r="AH62" s="4">
        <v>840103</v>
      </c>
      <c r="AI62" s="4" t="s">
        <v>139</v>
      </c>
      <c r="AJ62" s="4" t="s">
        <v>55</v>
      </c>
      <c r="AK62" s="5">
        <v>45610</v>
      </c>
      <c r="AL62" s="6">
        <v>45611</v>
      </c>
      <c r="AM62" s="6">
        <v>46081</v>
      </c>
      <c r="AN62" s="4">
        <v>10</v>
      </c>
      <c r="AO62" s="6">
        <v>49260</v>
      </c>
      <c r="AP62" s="9">
        <v>87.77</v>
      </c>
      <c r="AQ62" s="9">
        <v>8.7799999999999994</v>
      </c>
      <c r="AR62" s="9">
        <v>77.569999999999993</v>
      </c>
      <c r="AS62" s="9">
        <v>10.199999999999999</v>
      </c>
      <c r="AT62" s="4" t="s">
        <v>49</v>
      </c>
    </row>
    <row r="63" spans="1:46" ht="75" hidden="1" x14ac:dyDescent="0.25">
      <c r="A63" s="4">
        <v>39255017</v>
      </c>
      <c r="B63" s="4" t="str">
        <f>""</f>
        <v/>
      </c>
      <c r="C63" s="4" t="str">
        <f t="shared" si="7"/>
        <v>300100290001</v>
      </c>
      <c r="D63" s="4">
        <v>15</v>
      </c>
      <c r="E63" s="4" t="s">
        <v>132</v>
      </c>
      <c r="F63" s="4" t="s">
        <v>201</v>
      </c>
      <c r="G63" s="4" t="str">
        <f>"39255017"</f>
        <v>39255017</v>
      </c>
      <c r="H63" s="4" t="str">
        <f t="shared" si="8"/>
        <v>SILLON QHAPAX VISITA</v>
      </c>
      <c r="I63" s="4" t="str">
        <f>""</f>
        <v/>
      </c>
      <c r="J63" s="4" t="s">
        <v>49</v>
      </c>
      <c r="K63" s="4"/>
      <c r="L63" s="9">
        <v>87.77</v>
      </c>
      <c r="M63" s="4" t="s">
        <v>49</v>
      </c>
      <c r="N63" s="4" t="s">
        <v>113</v>
      </c>
      <c r="O63" s="4" t="s">
        <v>203</v>
      </c>
      <c r="P63" s="4" t="s">
        <v>204</v>
      </c>
      <c r="Q63" s="4" t="s">
        <v>54</v>
      </c>
      <c r="R63" s="4" t="s">
        <v>55</v>
      </c>
      <c r="S63" s="4" t="s">
        <v>56</v>
      </c>
      <c r="T63" s="4">
        <v>6</v>
      </c>
      <c r="U63" s="4" t="s">
        <v>57</v>
      </c>
      <c r="V63" s="4">
        <v>97459</v>
      </c>
      <c r="W63" s="4" t="s">
        <v>58</v>
      </c>
      <c r="X63" s="4">
        <v>1725514309</v>
      </c>
      <c r="Y63" s="4" t="s">
        <v>197</v>
      </c>
      <c r="Z63" s="4" t="s">
        <v>55</v>
      </c>
      <c r="AA63" s="4" t="s">
        <v>60</v>
      </c>
      <c r="AB63" s="4" t="s">
        <v>61</v>
      </c>
      <c r="AC63" s="4">
        <v>443</v>
      </c>
      <c r="AD63" s="4" t="s">
        <v>62</v>
      </c>
      <c r="AE63" s="4" t="s">
        <v>55</v>
      </c>
      <c r="AF63" s="4" t="s">
        <v>55</v>
      </c>
      <c r="AG63" s="4" t="s">
        <v>205</v>
      </c>
      <c r="AH63" s="4">
        <v>840103</v>
      </c>
      <c r="AI63" s="4" t="s">
        <v>139</v>
      </c>
      <c r="AJ63" s="4" t="s">
        <v>55</v>
      </c>
      <c r="AK63" s="5">
        <v>45610</v>
      </c>
      <c r="AL63" s="6">
        <v>45611</v>
      </c>
      <c r="AM63" s="6">
        <v>46081</v>
      </c>
      <c r="AN63" s="4">
        <v>10</v>
      </c>
      <c r="AO63" s="6">
        <v>49260</v>
      </c>
      <c r="AP63" s="9">
        <v>87.77</v>
      </c>
      <c r="AQ63" s="9">
        <v>8.7799999999999994</v>
      </c>
      <c r="AR63" s="9">
        <v>77.569999999999993</v>
      </c>
      <c r="AS63" s="9">
        <v>10.199999999999999</v>
      </c>
      <c r="AT63" s="4" t="s">
        <v>49</v>
      </c>
    </row>
    <row r="64" spans="1:46" ht="75" hidden="1" x14ac:dyDescent="0.25">
      <c r="A64" s="4">
        <v>39255018</v>
      </c>
      <c r="B64" s="4" t="str">
        <f>""</f>
        <v/>
      </c>
      <c r="C64" s="4" t="str">
        <f t="shared" si="7"/>
        <v>300100290001</v>
      </c>
      <c r="D64" s="4">
        <v>15</v>
      </c>
      <c r="E64" s="4" t="s">
        <v>132</v>
      </c>
      <c r="F64" s="4" t="s">
        <v>201</v>
      </c>
      <c r="G64" s="4" t="str">
        <f>"39255018"</f>
        <v>39255018</v>
      </c>
      <c r="H64" s="4" t="str">
        <f t="shared" si="8"/>
        <v>SILLON QHAPAX VISITA</v>
      </c>
      <c r="I64" s="4" t="str">
        <f t="shared" ref="I64:I104" si="9">"N/A"</f>
        <v>N/A</v>
      </c>
      <c r="J64" s="4" t="s">
        <v>49</v>
      </c>
      <c r="K64" s="4"/>
      <c r="L64" s="9">
        <v>87.77</v>
      </c>
      <c r="M64" s="4" t="s">
        <v>49</v>
      </c>
      <c r="N64" s="4" t="s">
        <v>113</v>
      </c>
      <c r="O64" s="4" t="s">
        <v>203</v>
      </c>
      <c r="P64" s="4" t="s">
        <v>204</v>
      </c>
      <c r="Q64" s="4" t="s">
        <v>54</v>
      </c>
      <c r="R64" s="4" t="s">
        <v>55</v>
      </c>
      <c r="S64" s="4" t="s">
        <v>56</v>
      </c>
      <c r="T64" s="4">
        <v>6</v>
      </c>
      <c r="U64" s="4" t="s">
        <v>57</v>
      </c>
      <c r="V64" s="4">
        <v>97459</v>
      </c>
      <c r="W64" s="4" t="s">
        <v>58</v>
      </c>
      <c r="X64" s="4">
        <v>1725514309</v>
      </c>
      <c r="Y64" s="4" t="s">
        <v>197</v>
      </c>
      <c r="Z64" s="4" t="s">
        <v>55</v>
      </c>
      <c r="AA64" s="4" t="s">
        <v>60</v>
      </c>
      <c r="AB64" s="4" t="s">
        <v>61</v>
      </c>
      <c r="AC64" s="4">
        <v>443</v>
      </c>
      <c r="AD64" s="4" t="s">
        <v>62</v>
      </c>
      <c r="AE64" s="4" t="s">
        <v>55</v>
      </c>
      <c r="AF64" s="4" t="s">
        <v>55</v>
      </c>
      <c r="AG64" s="4" t="s">
        <v>205</v>
      </c>
      <c r="AH64" s="4">
        <v>840103</v>
      </c>
      <c r="AI64" s="4" t="s">
        <v>139</v>
      </c>
      <c r="AJ64" s="4" t="s">
        <v>55</v>
      </c>
      <c r="AK64" s="5">
        <v>45610</v>
      </c>
      <c r="AL64" s="6">
        <v>45611</v>
      </c>
      <c r="AM64" s="6">
        <v>46081</v>
      </c>
      <c r="AN64" s="4">
        <v>10</v>
      </c>
      <c r="AO64" s="6">
        <v>49260</v>
      </c>
      <c r="AP64" s="9">
        <v>87.77</v>
      </c>
      <c r="AQ64" s="9">
        <v>8.7799999999999994</v>
      </c>
      <c r="AR64" s="9">
        <v>77.569999999999993</v>
      </c>
      <c r="AS64" s="9">
        <v>10.199999999999999</v>
      </c>
      <c r="AT64" s="4" t="s">
        <v>49</v>
      </c>
    </row>
    <row r="65" spans="1:46" ht="75" hidden="1" x14ac:dyDescent="0.25">
      <c r="A65" s="4">
        <v>39255019</v>
      </c>
      <c r="B65" s="4" t="str">
        <f>""</f>
        <v/>
      </c>
      <c r="C65" s="4" t="str">
        <f t="shared" ref="C65:C90" si="10">"300100280007"</f>
        <v>300100280007</v>
      </c>
      <c r="D65" s="4">
        <v>15</v>
      </c>
      <c r="E65" s="4" t="s">
        <v>132</v>
      </c>
      <c r="F65" s="4" t="s">
        <v>209</v>
      </c>
      <c r="G65" s="4" t="str">
        <f>"39255019"</f>
        <v>39255019</v>
      </c>
      <c r="H65" s="4" t="str">
        <f t="shared" ref="H65:H90" si="11">"SILLA DE VISITA"</f>
        <v>SILLA DE VISITA</v>
      </c>
      <c r="I65" s="4" t="str">
        <f t="shared" si="9"/>
        <v>N/A</v>
      </c>
      <c r="J65" s="4" t="s">
        <v>49</v>
      </c>
      <c r="K65" s="4"/>
      <c r="L65" s="9">
        <v>22.98</v>
      </c>
      <c r="M65" s="4" t="s">
        <v>49</v>
      </c>
      <c r="N65" s="4" t="s">
        <v>174</v>
      </c>
      <c r="O65" s="4" t="s">
        <v>203</v>
      </c>
      <c r="P65" s="4" t="s">
        <v>204</v>
      </c>
      <c r="Q65" s="4" t="s">
        <v>54</v>
      </c>
      <c r="R65" s="4" t="s">
        <v>55</v>
      </c>
      <c r="S65" s="4" t="s">
        <v>56</v>
      </c>
      <c r="T65" s="4">
        <v>6</v>
      </c>
      <c r="U65" s="4" t="s">
        <v>57</v>
      </c>
      <c r="V65" s="4">
        <v>97459</v>
      </c>
      <c r="W65" s="4" t="s">
        <v>58</v>
      </c>
      <c r="X65" s="4">
        <v>1711995694</v>
      </c>
      <c r="Y65" s="4" t="s">
        <v>169</v>
      </c>
      <c r="Z65" s="4" t="s">
        <v>55</v>
      </c>
      <c r="AA65" s="4" t="s">
        <v>60</v>
      </c>
      <c r="AB65" s="4" t="s">
        <v>61</v>
      </c>
      <c r="AC65" s="4">
        <v>443</v>
      </c>
      <c r="AD65" s="4" t="s">
        <v>62</v>
      </c>
      <c r="AE65" s="4" t="s">
        <v>55</v>
      </c>
      <c r="AF65" s="4" t="s">
        <v>55</v>
      </c>
      <c r="AG65" s="4" t="s">
        <v>205</v>
      </c>
      <c r="AH65" s="4">
        <v>840103</v>
      </c>
      <c r="AI65" s="4" t="s">
        <v>139</v>
      </c>
      <c r="AJ65" s="4" t="s">
        <v>55</v>
      </c>
      <c r="AK65" s="5">
        <v>45610</v>
      </c>
      <c r="AL65" s="6">
        <v>45611</v>
      </c>
      <c r="AM65" s="6">
        <v>46081</v>
      </c>
      <c r="AN65" s="4">
        <v>10</v>
      </c>
      <c r="AO65" s="6">
        <v>49260</v>
      </c>
      <c r="AP65" s="9">
        <v>22.98</v>
      </c>
      <c r="AQ65" s="9">
        <v>2.2999999999999998</v>
      </c>
      <c r="AR65" s="9">
        <v>20.29</v>
      </c>
      <c r="AS65" s="9">
        <v>2.69</v>
      </c>
      <c r="AT65" s="4" t="s">
        <v>49</v>
      </c>
    </row>
    <row r="66" spans="1:46" ht="75" hidden="1" x14ac:dyDescent="0.25">
      <c r="A66" s="4">
        <v>39255020</v>
      </c>
      <c r="B66" s="4" t="str">
        <f>""</f>
        <v/>
      </c>
      <c r="C66" s="4" t="str">
        <f t="shared" si="10"/>
        <v>300100280007</v>
      </c>
      <c r="D66" s="4">
        <v>15</v>
      </c>
      <c r="E66" s="4" t="s">
        <v>132</v>
      </c>
      <c r="F66" s="4" t="s">
        <v>209</v>
      </c>
      <c r="G66" s="4" t="str">
        <f>"39255020"</f>
        <v>39255020</v>
      </c>
      <c r="H66" s="4" t="str">
        <f t="shared" si="11"/>
        <v>SILLA DE VISITA</v>
      </c>
      <c r="I66" s="4" t="str">
        <f t="shared" si="9"/>
        <v>N/A</v>
      </c>
      <c r="J66" s="4" t="s">
        <v>49</v>
      </c>
      <c r="K66" s="4"/>
      <c r="L66" s="9">
        <v>22.98</v>
      </c>
      <c r="M66" s="4" t="s">
        <v>49</v>
      </c>
      <c r="N66" s="4" t="s">
        <v>174</v>
      </c>
      <c r="O66" s="4" t="s">
        <v>203</v>
      </c>
      <c r="P66" s="4" t="s">
        <v>204</v>
      </c>
      <c r="Q66" s="4" t="s">
        <v>54</v>
      </c>
      <c r="R66" s="4" t="s">
        <v>55</v>
      </c>
      <c r="S66" s="4" t="s">
        <v>56</v>
      </c>
      <c r="T66" s="4">
        <v>6</v>
      </c>
      <c r="U66" s="4" t="s">
        <v>57</v>
      </c>
      <c r="V66" s="4">
        <v>97459</v>
      </c>
      <c r="W66" s="4" t="s">
        <v>58</v>
      </c>
      <c r="X66" s="4">
        <v>103542908</v>
      </c>
      <c r="Y66" s="4" t="s">
        <v>164</v>
      </c>
      <c r="Z66" s="4" t="s">
        <v>55</v>
      </c>
      <c r="AA66" s="4" t="s">
        <v>60</v>
      </c>
      <c r="AB66" s="4" t="s">
        <v>61</v>
      </c>
      <c r="AC66" s="4">
        <v>443</v>
      </c>
      <c r="AD66" s="4" t="s">
        <v>62</v>
      </c>
      <c r="AE66" s="4" t="s">
        <v>55</v>
      </c>
      <c r="AF66" s="4" t="s">
        <v>55</v>
      </c>
      <c r="AG66" s="4" t="s">
        <v>205</v>
      </c>
      <c r="AH66" s="4">
        <v>840103</v>
      </c>
      <c r="AI66" s="4" t="s">
        <v>139</v>
      </c>
      <c r="AJ66" s="4" t="s">
        <v>55</v>
      </c>
      <c r="AK66" s="5">
        <v>45610</v>
      </c>
      <c r="AL66" s="6">
        <v>45611</v>
      </c>
      <c r="AM66" s="6">
        <v>46081</v>
      </c>
      <c r="AN66" s="4">
        <v>10</v>
      </c>
      <c r="AO66" s="6">
        <v>49260</v>
      </c>
      <c r="AP66" s="9">
        <v>22.98</v>
      </c>
      <c r="AQ66" s="9">
        <v>2.2999999999999998</v>
      </c>
      <c r="AR66" s="9">
        <v>20.29</v>
      </c>
      <c r="AS66" s="9">
        <v>2.69</v>
      </c>
      <c r="AT66" s="4" t="s">
        <v>49</v>
      </c>
    </row>
    <row r="67" spans="1:46" ht="75" hidden="1" x14ac:dyDescent="0.25">
      <c r="A67" s="4">
        <v>39255021</v>
      </c>
      <c r="B67" s="4" t="str">
        <f>""</f>
        <v/>
      </c>
      <c r="C67" s="4" t="str">
        <f t="shared" si="10"/>
        <v>300100280007</v>
      </c>
      <c r="D67" s="4">
        <v>15</v>
      </c>
      <c r="E67" s="4" t="s">
        <v>132</v>
      </c>
      <c r="F67" s="4" t="s">
        <v>209</v>
      </c>
      <c r="G67" s="4" t="str">
        <f>"39255021"</f>
        <v>39255021</v>
      </c>
      <c r="H67" s="4" t="str">
        <f t="shared" si="11"/>
        <v>SILLA DE VISITA</v>
      </c>
      <c r="I67" s="4" t="str">
        <f t="shared" si="9"/>
        <v>N/A</v>
      </c>
      <c r="J67" s="4" t="s">
        <v>49</v>
      </c>
      <c r="K67" s="4"/>
      <c r="L67" s="9">
        <v>22.98</v>
      </c>
      <c r="M67" s="4" t="s">
        <v>49</v>
      </c>
      <c r="N67" s="4" t="s">
        <v>174</v>
      </c>
      <c r="O67" s="4" t="s">
        <v>203</v>
      </c>
      <c r="P67" s="4" t="s">
        <v>204</v>
      </c>
      <c r="Q67" s="4" t="s">
        <v>54</v>
      </c>
      <c r="R67" s="4" t="s">
        <v>55</v>
      </c>
      <c r="S67" s="4" t="s">
        <v>56</v>
      </c>
      <c r="T67" s="4">
        <v>6</v>
      </c>
      <c r="U67" s="4" t="s">
        <v>57</v>
      </c>
      <c r="V67" s="4">
        <v>97459</v>
      </c>
      <c r="W67" s="4" t="s">
        <v>58</v>
      </c>
      <c r="X67" s="4">
        <v>103542908</v>
      </c>
      <c r="Y67" s="4" t="s">
        <v>164</v>
      </c>
      <c r="Z67" s="4" t="s">
        <v>55</v>
      </c>
      <c r="AA67" s="4" t="s">
        <v>60</v>
      </c>
      <c r="AB67" s="4" t="s">
        <v>61</v>
      </c>
      <c r="AC67" s="4">
        <v>443</v>
      </c>
      <c r="AD67" s="4" t="s">
        <v>62</v>
      </c>
      <c r="AE67" s="4" t="s">
        <v>55</v>
      </c>
      <c r="AF67" s="4" t="s">
        <v>55</v>
      </c>
      <c r="AG67" s="4" t="s">
        <v>205</v>
      </c>
      <c r="AH67" s="4">
        <v>840103</v>
      </c>
      <c r="AI67" s="4" t="s">
        <v>139</v>
      </c>
      <c r="AJ67" s="4" t="s">
        <v>55</v>
      </c>
      <c r="AK67" s="5">
        <v>45610</v>
      </c>
      <c r="AL67" s="6">
        <v>45611</v>
      </c>
      <c r="AM67" s="6">
        <v>46081</v>
      </c>
      <c r="AN67" s="4">
        <v>10</v>
      </c>
      <c r="AO67" s="6">
        <v>49260</v>
      </c>
      <c r="AP67" s="9">
        <v>22.98</v>
      </c>
      <c r="AQ67" s="9">
        <v>2.2999999999999998</v>
      </c>
      <c r="AR67" s="9">
        <v>20.29</v>
      </c>
      <c r="AS67" s="9">
        <v>2.69</v>
      </c>
      <c r="AT67" s="4" t="s">
        <v>49</v>
      </c>
    </row>
    <row r="68" spans="1:46" ht="75" hidden="1" x14ac:dyDescent="0.25">
      <c r="A68" s="4">
        <v>39255022</v>
      </c>
      <c r="B68" s="4" t="str">
        <f>""</f>
        <v/>
      </c>
      <c r="C68" s="4" t="str">
        <f t="shared" si="10"/>
        <v>300100280007</v>
      </c>
      <c r="D68" s="4">
        <v>15</v>
      </c>
      <c r="E68" s="4" t="s">
        <v>132</v>
      </c>
      <c r="F68" s="4" t="s">
        <v>209</v>
      </c>
      <c r="G68" s="4" t="str">
        <f>"39255022"</f>
        <v>39255022</v>
      </c>
      <c r="H68" s="4" t="str">
        <f t="shared" si="11"/>
        <v>SILLA DE VISITA</v>
      </c>
      <c r="I68" s="4" t="str">
        <f t="shared" si="9"/>
        <v>N/A</v>
      </c>
      <c r="J68" s="4" t="s">
        <v>49</v>
      </c>
      <c r="K68" s="4"/>
      <c r="L68" s="9">
        <v>22.98</v>
      </c>
      <c r="M68" s="4" t="s">
        <v>49</v>
      </c>
      <c r="N68" s="4" t="s">
        <v>174</v>
      </c>
      <c r="O68" s="4" t="s">
        <v>203</v>
      </c>
      <c r="P68" s="4" t="s">
        <v>204</v>
      </c>
      <c r="Q68" s="4" t="s">
        <v>54</v>
      </c>
      <c r="R68" s="4" t="s">
        <v>55</v>
      </c>
      <c r="S68" s="4" t="s">
        <v>56</v>
      </c>
      <c r="T68" s="4">
        <v>6</v>
      </c>
      <c r="U68" s="4" t="s">
        <v>57</v>
      </c>
      <c r="V68" s="4">
        <v>97459</v>
      </c>
      <c r="W68" s="4" t="s">
        <v>58</v>
      </c>
      <c r="X68" s="4">
        <v>103542908</v>
      </c>
      <c r="Y68" s="4" t="s">
        <v>164</v>
      </c>
      <c r="Z68" s="4" t="s">
        <v>55</v>
      </c>
      <c r="AA68" s="4" t="s">
        <v>60</v>
      </c>
      <c r="AB68" s="4" t="s">
        <v>61</v>
      </c>
      <c r="AC68" s="4">
        <v>443</v>
      </c>
      <c r="AD68" s="4" t="s">
        <v>62</v>
      </c>
      <c r="AE68" s="4" t="s">
        <v>55</v>
      </c>
      <c r="AF68" s="4" t="s">
        <v>55</v>
      </c>
      <c r="AG68" s="4" t="s">
        <v>205</v>
      </c>
      <c r="AH68" s="4">
        <v>840103</v>
      </c>
      <c r="AI68" s="4" t="s">
        <v>139</v>
      </c>
      <c r="AJ68" s="4" t="s">
        <v>55</v>
      </c>
      <c r="AK68" s="5">
        <v>45610</v>
      </c>
      <c r="AL68" s="6">
        <v>45611</v>
      </c>
      <c r="AM68" s="6">
        <v>46081</v>
      </c>
      <c r="AN68" s="4">
        <v>10</v>
      </c>
      <c r="AO68" s="6">
        <v>49260</v>
      </c>
      <c r="AP68" s="9">
        <v>22.98</v>
      </c>
      <c r="AQ68" s="9">
        <v>2.2999999999999998</v>
      </c>
      <c r="AR68" s="9">
        <v>20.29</v>
      </c>
      <c r="AS68" s="9">
        <v>2.69</v>
      </c>
      <c r="AT68" s="4" t="s">
        <v>49</v>
      </c>
    </row>
    <row r="69" spans="1:46" ht="75" hidden="1" x14ac:dyDescent="0.25">
      <c r="A69" s="4">
        <v>39255023</v>
      </c>
      <c r="B69" s="4" t="str">
        <f>""</f>
        <v/>
      </c>
      <c r="C69" s="4" t="str">
        <f t="shared" si="10"/>
        <v>300100280007</v>
      </c>
      <c r="D69" s="4">
        <v>15</v>
      </c>
      <c r="E69" s="4" t="s">
        <v>132</v>
      </c>
      <c r="F69" s="4" t="s">
        <v>209</v>
      </c>
      <c r="G69" s="4" t="str">
        <f>"39255023"</f>
        <v>39255023</v>
      </c>
      <c r="H69" s="4" t="str">
        <f t="shared" si="11"/>
        <v>SILLA DE VISITA</v>
      </c>
      <c r="I69" s="4" t="str">
        <f t="shared" si="9"/>
        <v>N/A</v>
      </c>
      <c r="J69" s="4" t="s">
        <v>49</v>
      </c>
      <c r="K69" s="4"/>
      <c r="L69" s="9">
        <v>22.98</v>
      </c>
      <c r="M69" s="4" t="s">
        <v>49</v>
      </c>
      <c r="N69" s="4" t="s">
        <v>174</v>
      </c>
      <c r="O69" s="4" t="s">
        <v>203</v>
      </c>
      <c r="P69" s="4" t="s">
        <v>204</v>
      </c>
      <c r="Q69" s="4" t="s">
        <v>54</v>
      </c>
      <c r="R69" s="4" t="s">
        <v>55</v>
      </c>
      <c r="S69" s="4" t="s">
        <v>56</v>
      </c>
      <c r="T69" s="4">
        <v>6</v>
      </c>
      <c r="U69" s="4" t="s">
        <v>57</v>
      </c>
      <c r="V69" s="4">
        <v>97459</v>
      </c>
      <c r="W69" s="4" t="s">
        <v>58</v>
      </c>
      <c r="X69" s="4">
        <v>1711995694</v>
      </c>
      <c r="Y69" s="4" t="s">
        <v>169</v>
      </c>
      <c r="Z69" s="4" t="s">
        <v>55</v>
      </c>
      <c r="AA69" s="4" t="s">
        <v>60</v>
      </c>
      <c r="AB69" s="4" t="s">
        <v>61</v>
      </c>
      <c r="AC69" s="4">
        <v>443</v>
      </c>
      <c r="AD69" s="4" t="s">
        <v>62</v>
      </c>
      <c r="AE69" s="4" t="s">
        <v>55</v>
      </c>
      <c r="AF69" s="4" t="s">
        <v>55</v>
      </c>
      <c r="AG69" s="4" t="s">
        <v>205</v>
      </c>
      <c r="AH69" s="4">
        <v>840103</v>
      </c>
      <c r="AI69" s="4" t="s">
        <v>139</v>
      </c>
      <c r="AJ69" s="4" t="s">
        <v>55</v>
      </c>
      <c r="AK69" s="5">
        <v>45610</v>
      </c>
      <c r="AL69" s="6">
        <v>45611</v>
      </c>
      <c r="AM69" s="6">
        <v>46081</v>
      </c>
      <c r="AN69" s="4">
        <v>10</v>
      </c>
      <c r="AO69" s="6">
        <v>49260</v>
      </c>
      <c r="AP69" s="9">
        <v>22.98</v>
      </c>
      <c r="AQ69" s="9">
        <v>2.2999999999999998</v>
      </c>
      <c r="AR69" s="9">
        <v>20.29</v>
      </c>
      <c r="AS69" s="9">
        <v>2.69</v>
      </c>
      <c r="AT69" s="4" t="s">
        <v>49</v>
      </c>
    </row>
    <row r="70" spans="1:46" ht="75" hidden="1" x14ac:dyDescent="0.25">
      <c r="A70" s="4">
        <v>39255024</v>
      </c>
      <c r="B70" s="4" t="str">
        <f>""</f>
        <v/>
      </c>
      <c r="C70" s="4" t="str">
        <f t="shared" si="10"/>
        <v>300100280007</v>
      </c>
      <c r="D70" s="4">
        <v>15</v>
      </c>
      <c r="E70" s="4" t="s">
        <v>132</v>
      </c>
      <c r="F70" s="4" t="s">
        <v>209</v>
      </c>
      <c r="G70" s="4" t="str">
        <f>"39255024"</f>
        <v>39255024</v>
      </c>
      <c r="H70" s="4" t="str">
        <f t="shared" si="11"/>
        <v>SILLA DE VISITA</v>
      </c>
      <c r="I70" s="4" t="str">
        <f t="shared" si="9"/>
        <v>N/A</v>
      </c>
      <c r="J70" s="4" t="s">
        <v>49</v>
      </c>
      <c r="K70" s="4"/>
      <c r="L70" s="9">
        <v>22.98</v>
      </c>
      <c r="M70" s="4" t="s">
        <v>49</v>
      </c>
      <c r="N70" s="4" t="s">
        <v>174</v>
      </c>
      <c r="O70" s="4" t="s">
        <v>203</v>
      </c>
      <c r="P70" s="4" t="s">
        <v>204</v>
      </c>
      <c r="Q70" s="4" t="s">
        <v>54</v>
      </c>
      <c r="R70" s="4" t="s">
        <v>55</v>
      </c>
      <c r="S70" s="4" t="s">
        <v>56</v>
      </c>
      <c r="T70" s="4">
        <v>6</v>
      </c>
      <c r="U70" s="4" t="s">
        <v>57</v>
      </c>
      <c r="V70" s="4">
        <v>97459</v>
      </c>
      <c r="W70" s="4" t="s">
        <v>58</v>
      </c>
      <c r="X70" s="4">
        <v>103542908</v>
      </c>
      <c r="Y70" s="4" t="s">
        <v>164</v>
      </c>
      <c r="Z70" s="4" t="s">
        <v>55</v>
      </c>
      <c r="AA70" s="4" t="s">
        <v>60</v>
      </c>
      <c r="AB70" s="4" t="s">
        <v>61</v>
      </c>
      <c r="AC70" s="4">
        <v>443</v>
      </c>
      <c r="AD70" s="4" t="s">
        <v>62</v>
      </c>
      <c r="AE70" s="4" t="s">
        <v>55</v>
      </c>
      <c r="AF70" s="4" t="s">
        <v>55</v>
      </c>
      <c r="AG70" s="4" t="s">
        <v>205</v>
      </c>
      <c r="AH70" s="4">
        <v>840103</v>
      </c>
      <c r="AI70" s="4" t="s">
        <v>139</v>
      </c>
      <c r="AJ70" s="4" t="s">
        <v>55</v>
      </c>
      <c r="AK70" s="5">
        <v>45610</v>
      </c>
      <c r="AL70" s="6">
        <v>45611</v>
      </c>
      <c r="AM70" s="6">
        <v>46081</v>
      </c>
      <c r="AN70" s="4">
        <v>10</v>
      </c>
      <c r="AO70" s="6">
        <v>49260</v>
      </c>
      <c r="AP70" s="9">
        <v>22.98</v>
      </c>
      <c r="AQ70" s="9">
        <v>2.2999999999999998</v>
      </c>
      <c r="AR70" s="9">
        <v>20.29</v>
      </c>
      <c r="AS70" s="9">
        <v>2.69</v>
      </c>
      <c r="AT70" s="4" t="s">
        <v>49</v>
      </c>
    </row>
    <row r="71" spans="1:46" ht="75" hidden="1" x14ac:dyDescent="0.25">
      <c r="A71" s="4">
        <v>39255025</v>
      </c>
      <c r="B71" s="4" t="str">
        <f>""</f>
        <v/>
      </c>
      <c r="C71" s="4" t="str">
        <f t="shared" si="10"/>
        <v>300100280007</v>
      </c>
      <c r="D71" s="4">
        <v>15</v>
      </c>
      <c r="E71" s="4" t="s">
        <v>132</v>
      </c>
      <c r="F71" s="4" t="s">
        <v>209</v>
      </c>
      <c r="G71" s="4" t="str">
        <f>"39255025"</f>
        <v>39255025</v>
      </c>
      <c r="H71" s="4" t="str">
        <f t="shared" si="11"/>
        <v>SILLA DE VISITA</v>
      </c>
      <c r="I71" s="4" t="str">
        <f t="shared" si="9"/>
        <v>N/A</v>
      </c>
      <c r="J71" s="4" t="s">
        <v>49</v>
      </c>
      <c r="K71" s="4"/>
      <c r="L71" s="9">
        <v>22.98</v>
      </c>
      <c r="M71" s="4" t="s">
        <v>49</v>
      </c>
      <c r="N71" s="4" t="s">
        <v>174</v>
      </c>
      <c r="O71" s="4" t="s">
        <v>203</v>
      </c>
      <c r="P71" s="4" t="s">
        <v>204</v>
      </c>
      <c r="Q71" s="4" t="s">
        <v>54</v>
      </c>
      <c r="R71" s="4" t="s">
        <v>55</v>
      </c>
      <c r="S71" s="4" t="s">
        <v>56</v>
      </c>
      <c r="T71" s="4">
        <v>6</v>
      </c>
      <c r="U71" s="4" t="s">
        <v>57</v>
      </c>
      <c r="V71" s="4">
        <v>97459</v>
      </c>
      <c r="W71" s="4" t="s">
        <v>58</v>
      </c>
      <c r="X71" s="4">
        <v>103542908</v>
      </c>
      <c r="Y71" s="4" t="s">
        <v>164</v>
      </c>
      <c r="Z71" s="4" t="s">
        <v>55</v>
      </c>
      <c r="AA71" s="4" t="s">
        <v>60</v>
      </c>
      <c r="AB71" s="4" t="s">
        <v>61</v>
      </c>
      <c r="AC71" s="4">
        <v>443</v>
      </c>
      <c r="AD71" s="4" t="s">
        <v>62</v>
      </c>
      <c r="AE71" s="4" t="s">
        <v>55</v>
      </c>
      <c r="AF71" s="4" t="s">
        <v>55</v>
      </c>
      <c r="AG71" s="4" t="s">
        <v>205</v>
      </c>
      <c r="AH71" s="4">
        <v>840103</v>
      </c>
      <c r="AI71" s="4" t="s">
        <v>139</v>
      </c>
      <c r="AJ71" s="4" t="s">
        <v>55</v>
      </c>
      <c r="AK71" s="5">
        <v>45610</v>
      </c>
      <c r="AL71" s="6">
        <v>45611</v>
      </c>
      <c r="AM71" s="6">
        <v>46081</v>
      </c>
      <c r="AN71" s="4">
        <v>10</v>
      </c>
      <c r="AO71" s="6">
        <v>49260</v>
      </c>
      <c r="AP71" s="9">
        <v>22.98</v>
      </c>
      <c r="AQ71" s="9">
        <v>2.2999999999999998</v>
      </c>
      <c r="AR71" s="9">
        <v>20.29</v>
      </c>
      <c r="AS71" s="9">
        <v>2.69</v>
      </c>
      <c r="AT71" s="4" t="s">
        <v>49</v>
      </c>
    </row>
    <row r="72" spans="1:46" ht="75" hidden="1" x14ac:dyDescent="0.25">
      <c r="A72" s="4">
        <v>39255026</v>
      </c>
      <c r="B72" s="4" t="str">
        <f>""</f>
        <v/>
      </c>
      <c r="C72" s="4" t="str">
        <f t="shared" si="10"/>
        <v>300100280007</v>
      </c>
      <c r="D72" s="4">
        <v>15</v>
      </c>
      <c r="E72" s="4" t="s">
        <v>132</v>
      </c>
      <c r="F72" s="4" t="s">
        <v>209</v>
      </c>
      <c r="G72" s="4" t="str">
        <f>"39255026"</f>
        <v>39255026</v>
      </c>
      <c r="H72" s="4" t="str">
        <f t="shared" si="11"/>
        <v>SILLA DE VISITA</v>
      </c>
      <c r="I72" s="4" t="str">
        <f t="shared" si="9"/>
        <v>N/A</v>
      </c>
      <c r="J72" s="4" t="s">
        <v>49</v>
      </c>
      <c r="K72" s="4"/>
      <c r="L72" s="9">
        <v>22.98</v>
      </c>
      <c r="M72" s="4" t="s">
        <v>49</v>
      </c>
      <c r="N72" s="4" t="s">
        <v>174</v>
      </c>
      <c r="O72" s="4" t="s">
        <v>203</v>
      </c>
      <c r="P72" s="4" t="s">
        <v>204</v>
      </c>
      <c r="Q72" s="4" t="s">
        <v>54</v>
      </c>
      <c r="R72" s="4" t="s">
        <v>55</v>
      </c>
      <c r="S72" s="4" t="s">
        <v>56</v>
      </c>
      <c r="T72" s="4">
        <v>6</v>
      </c>
      <c r="U72" s="4" t="s">
        <v>57</v>
      </c>
      <c r="V72" s="4">
        <v>97459</v>
      </c>
      <c r="W72" s="4" t="s">
        <v>58</v>
      </c>
      <c r="X72" s="4">
        <v>1711995694</v>
      </c>
      <c r="Y72" s="4" t="s">
        <v>169</v>
      </c>
      <c r="Z72" s="4" t="s">
        <v>55</v>
      </c>
      <c r="AA72" s="4" t="s">
        <v>60</v>
      </c>
      <c r="AB72" s="4" t="s">
        <v>61</v>
      </c>
      <c r="AC72" s="4">
        <v>443</v>
      </c>
      <c r="AD72" s="4" t="s">
        <v>62</v>
      </c>
      <c r="AE72" s="4" t="s">
        <v>55</v>
      </c>
      <c r="AF72" s="4" t="s">
        <v>55</v>
      </c>
      <c r="AG72" s="4" t="s">
        <v>205</v>
      </c>
      <c r="AH72" s="4">
        <v>840103</v>
      </c>
      <c r="AI72" s="4" t="s">
        <v>139</v>
      </c>
      <c r="AJ72" s="4" t="s">
        <v>55</v>
      </c>
      <c r="AK72" s="5">
        <v>45610</v>
      </c>
      <c r="AL72" s="6">
        <v>45611</v>
      </c>
      <c r="AM72" s="6">
        <v>46081</v>
      </c>
      <c r="AN72" s="4">
        <v>10</v>
      </c>
      <c r="AO72" s="6">
        <v>49260</v>
      </c>
      <c r="AP72" s="9">
        <v>22.98</v>
      </c>
      <c r="AQ72" s="9">
        <v>2.2999999999999998</v>
      </c>
      <c r="AR72" s="9">
        <v>20.29</v>
      </c>
      <c r="AS72" s="9">
        <v>2.69</v>
      </c>
      <c r="AT72" s="4" t="s">
        <v>49</v>
      </c>
    </row>
    <row r="73" spans="1:46" ht="75" hidden="1" x14ac:dyDescent="0.25">
      <c r="A73" s="4">
        <v>39255027</v>
      </c>
      <c r="B73" s="4" t="str">
        <f>""</f>
        <v/>
      </c>
      <c r="C73" s="4" t="str">
        <f t="shared" si="10"/>
        <v>300100280007</v>
      </c>
      <c r="D73" s="4">
        <v>15</v>
      </c>
      <c r="E73" s="4" t="s">
        <v>132</v>
      </c>
      <c r="F73" s="4" t="s">
        <v>209</v>
      </c>
      <c r="G73" s="4" t="str">
        <f>"39255027"</f>
        <v>39255027</v>
      </c>
      <c r="H73" s="4" t="str">
        <f t="shared" si="11"/>
        <v>SILLA DE VISITA</v>
      </c>
      <c r="I73" s="4" t="str">
        <f t="shared" si="9"/>
        <v>N/A</v>
      </c>
      <c r="J73" s="4" t="s">
        <v>49</v>
      </c>
      <c r="K73" s="4"/>
      <c r="L73" s="9">
        <v>22.98</v>
      </c>
      <c r="M73" s="4" t="s">
        <v>49</v>
      </c>
      <c r="N73" s="4" t="s">
        <v>174</v>
      </c>
      <c r="O73" s="4" t="s">
        <v>203</v>
      </c>
      <c r="P73" s="4" t="s">
        <v>204</v>
      </c>
      <c r="Q73" s="4" t="s">
        <v>54</v>
      </c>
      <c r="R73" s="4" t="s">
        <v>55</v>
      </c>
      <c r="S73" s="4" t="s">
        <v>56</v>
      </c>
      <c r="T73" s="4">
        <v>6</v>
      </c>
      <c r="U73" s="4" t="s">
        <v>57</v>
      </c>
      <c r="V73" s="4">
        <v>97459</v>
      </c>
      <c r="W73" s="4" t="s">
        <v>58</v>
      </c>
      <c r="X73" s="4">
        <v>1717662512</v>
      </c>
      <c r="Y73" s="4" t="s">
        <v>71</v>
      </c>
      <c r="Z73" s="4" t="s">
        <v>55</v>
      </c>
      <c r="AA73" s="4" t="s">
        <v>60</v>
      </c>
      <c r="AB73" s="4" t="s">
        <v>61</v>
      </c>
      <c r="AC73" s="4">
        <v>443</v>
      </c>
      <c r="AD73" s="4" t="s">
        <v>62</v>
      </c>
      <c r="AE73" s="4" t="s">
        <v>55</v>
      </c>
      <c r="AF73" s="4" t="s">
        <v>55</v>
      </c>
      <c r="AG73" s="4" t="s">
        <v>205</v>
      </c>
      <c r="AH73" s="4">
        <v>840103</v>
      </c>
      <c r="AI73" s="4" t="s">
        <v>139</v>
      </c>
      <c r="AJ73" s="4" t="s">
        <v>55</v>
      </c>
      <c r="AK73" s="5">
        <v>45610</v>
      </c>
      <c r="AL73" s="6">
        <v>45611</v>
      </c>
      <c r="AM73" s="6">
        <v>46081</v>
      </c>
      <c r="AN73" s="4">
        <v>10</v>
      </c>
      <c r="AO73" s="6">
        <v>49260</v>
      </c>
      <c r="AP73" s="9">
        <v>22.98</v>
      </c>
      <c r="AQ73" s="9">
        <v>2.2999999999999998</v>
      </c>
      <c r="AR73" s="9">
        <v>20.29</v>
      </c>
      <c r="AS73" s="9">
        <v>2.69</v>
      </c>
      <c r="AT73" s="4" t="s">
        <v>49</v>
      </c>
    </row>
    <row r="74" spans="1:46" ht="75" hidden="1" x14ac:dyDescent="0.25">
      <c r="A74" s="4">
        <v>39255028</v>
      </c>
      <c r="B74" s="4" t="str">
        <f>""</f>
        <v/>
      </c>
      <c r="C74" s="4" t="str">
        <f t="shared" si="10"/>
        <v>300100280007</v>
      </c>
      <c r="D74" s="4">
        <v>15</v>
      </c>
      <c r="E74" s="4" t="s">
        <v>132</v>
      </c>
      <c r="F74" s="4" t="s">
        <v>209</v>
      </c>
      <c r="G74" s="4" t="str">
        <f>"39255028"</f>
        <v>39255028</v>
      </c>
      <c r="H74" s="4" t="str">
        <f t="shared" si="11"/>
        <v>SILLA DE VISITA</v>
      </c>
      <c r="I74" s="4" t="str">
        <f t="shared" si="9"/>
        <v>N/A</v>
      </c>
      <c r="J74" s="4" t="s">
        <v>49</v>
      </c>
      <c r="K74" s="4"/>
      <c r="L74" s="9">
        <v>22.98</v>
      </c>
      <c r="M74" s="4" t="s">
        <v>49</v>
      </c>
      <c r="N74" s="4" t="s">
        <v>174</v>
      </c>
      <c r="O74" s="4" t="s">
        <v>203</v>
      </c>
      <c r="P74" s="4" t="s">
        <v>204</v>
      </c>
      <c r="Q74" s="4" t="s">
        <v>54</v>
      </c>
      <c r="R74" s="4" t="s">
        <v>55</v>
      </c>
      <c r="S74" s="4" t="s">
        <v>56</v>
      </c>
      <c r="T74" s="4">
        <v>6</v>
      </c>
      <c r="U74" s="4" t="s">
        <v>57</v>
      </c>
      <c r="V74" s="4">
        <v>97459</v>
      </c>
      <c r="W74" s="4" t="s">
        <v>58</v>
      </c>
      <c r="X74" s="4">
        <v>1717662512</v>
      </c>
      <c r="Y74" s="4" t="s">
        <v>71</v>
      </c>
      <c r="Z74" s="4" t="s">
        <v>55</v>
      </c>
      <c r="AA74" s="4" t="s">
        <v>60</v>
      </c>
      <c r="AB74" s="4" t="s">
        <v>61</v>
      </c>
      <c r="AC74" s="4">
        <v>443</v>
      </c>
      <c r="AD74" s="4" t="s">
        <v>62</v>
      </c>
      <c r="AE74" s="4" t="s">
        <v>55</v>
      </c>
      <c r="AF74" s="4" t="s">
        <v>55</v>
      </c>
      <c r="AG74" s="4" t="s">
        <v>205</v>
      </c>
      <c r="AH74" s="4">
        <v>840103</v>
      </c>
      <c r="AI74" s="4" t="s">
        <v>139</v>
      </c>
      <c r="AJ74" s="4" t="s">
        <v>55</v>
      </c>
      <c r="AK74" s="5">
        <v>45610</v>
      </c>
      <c r="AL74" s="6">
        <v>45611</v>
      </c>
      <c r="AM74" s="6">
        <v>46081</v>
      </c>
      <c r="AN74" s="4">
        <v>10</v>
      </c>
      <c r="AO74" s="6">
        <v>49260</v>
      </c>
      <c r="AP74" s="9">
        <v>22.98</v>
      </c>
      <c r="AQ74" s="9">
        <v>2.2999999999999998</v>
      </c>
      <c r="AR74" s="9">
        <v>20.29</v>
      </c>
      <c r="AS74" s="9">
        <v>2.69</v>
      </c>
      <c r="AT74" s="4" t="s">
        <v>49</v>
      </c>
    </row>
    <row r="75" spans="1:46" ht="75" hidden="1" x14ac:dyDescent="0.25">
      <c r="A75" s="4">
        <v>39255029</v>
      </c>
      <c r="B75" s="4" t="str">
        <f>""</f>
        <v/>
      </c>
      <c r="C75" s="4" t="str">
        <f t="shared" si="10"/>
        <v>300100280007</v>
      </c>
      <c r="D75" s="4">
        <v>15</v>
      </c>
      <c r="E75" s="4" t="s">
        <v>132</v>
      </c>
      <c r="F75" s="4" t="s">
        <v>209</v>
      </c>
      <c r="G75" s="4" t="str">
        <f>"39255029"</f>
        <v>39255029</v>
      </c>
      <c r="H75" s="4" t="str">
        <f t="shared" si="11"/>
        <v>SILLA DE VISITA</v>
      </c>
      <c r="I75" s="4" t="str">
        <f t="shared" si="9"/>
        <v>N/A</v>
      </c>
      <c r="J75" s="4" t="s">
        <v>49</v>
      </c>
      <c r="K75" s="4"/>
      <c r="L75" s="9">
        <v>22.98</v>
      </c>
      <c r="M75" s="4" t="s">
        <v>49</v>
      </c>
      <c r="N75" s="4" t="s">
        <v>174</v>
      </c>
      <c r="O75" s="4" t="s">
        <v>203</v>
      </c>
      <c r="P75" s="4" t="s">
        <v>204</v>
      </c>
      <c r="Q75" s="4" t="s">
        <v>54</v>
      </c>
      <c r="R75" s="4" t="s">
        <v>55</v>
      </c>
      <c r="S75" s="4" t="s">
        <v>56</v>
      </c>
      <c r="T75" s="4">
        <v>6</v>
      </c>
      <c r="U75" s="4" t="s">
        <v>57</v>
      </c>
      <c r="V75" s="4">
        <v>97459</v>
      </c>
      <c r="W75" s="4" t="s">
        <v>58</v>
      </c>
      <c r="X75" s="4">
        <v>1723600886</v>
      </c>
      <c r="Y75" s="4" t="s">
        <v>214</v>
      </c>
      <c r="Z75" s="4" t="s">
        <v>55</v>
      </c>
      <c r="AA75" s="4" t="s">
        <v>60</v>
      </c>
      <c r="AB75" s="4" t="s">
        <v>61</v>
      </c>
      <c r="AC75" s="4">
        <v>443</v>
      </c>
      <c r="AD75" s="4" t="s">
        <v>62</v>
      </c>
      <c r="AE75" s="4" t="s">
        <v>55</v>
      </c>
      <c r="AF75" s="4" t="s">
        <v>55</v>
      </c>
      <c r="AG75" s="4" t="s">
        <v>205</v>
      </c>
      <c r="AH75" s="4">
        <v>840103</v>
      </c>
      <c r="AI75" s="4" t="s">
        <v>139</v>
      </c>
      <c r="AJ75" s="4" t="s">
        <v>55</v>
      </c>
      <c r="AK75" s="5">
        <v>45610</v>
      </c>
      <c r="AL75" s="6">
        <v>45611</v>
      </c>
      <c r="AM75" s="6">
        <v>46081</v>
      </c>
      <c r="AN75" s="4">
        <v>10</v>
      </c>
      <c r="AO75" s="6">
        <v>49260</v>
      </c>
      <c r="AP75" s="9">
        <v>22.98</v>
      </c>
      <c r="AQ75" s="9">
        <v>2.2999999999999998</v>
      </c>
      <c r="AR75" s="9">
        <v>20.29</v>
      </c>
      <c r="AS75" s="9">
        <v>2.69</v>
      </c>
      <c r="AT75" s="4" t="s">
        <v>49</v>
      </c>
    </row>
    <row r="76" spans="1:46" ht="75" hidden="1" x14ac:dyDescent="0.25">
      <c r="A76" s="4">
        <v>39255030</v>
      </c>
      <c r="B76" s="4" t="str">
        <f>""</f>
        <v/>
      </c>
      <c r="C76" s="4" t="str">
        <f t="shared" si="10"/>
        <v>300100280007</v>
      </c>
      <c r="D76" s="4">
        <v>15</v>
      </c>
      <c r="E76" s="4" t="s">
        <v>132</v>
      </c>
      <c r="F76" s="4" t="s">
        <v>209</v>
      </c>
      <c r="G76" s="4" t="str">
        <f>"39255030"</f>
        <v>39255030</v>
      </c>
      <c r="H76" s="4" t="str">
        <f t="shared" si="11"/>
        <v>SILLA DE VISITA</v>
      </c>
      <c r="I76" s="4" t="str">
        <f t="shared" si="9"/>
        <v>N/A</v>
      </c>
      <c r="J76" s="4" t="s">
        <v>49</v>
      </c>
      <c r="K76" s="4"/>
      <c r="L76" s="9">
        <v>22.98</v>
      </c>
      <c r="M76" s="4" t="s">
        <v>49</v>
      </c>
      <c r="N76" s="4" t="s">
        <v>174</v>
      </c>
      <c r="O76" s="4" t="s">
        <v>203</v>
      </c>
      <c r="P76" s="4" t="s">
        <v>204</v>
      </c>
      <c r="Q76" s="4" t="s">
        <v>54</v>
      </c>
      <c r="R76" s="4" t="s">
        <v>55</v>
      </c>
      <c r="S76" s="4" t="s">
        <v>56</v>
      </c>
      <c r="T76" s="4">
        <v>6</v>
      </c>
      <c r="U76" s="4" t="s">
        <v>57</v>
      </c>
      <c r="V76" s="4">
        <v>97459</v>
      </c>
      <c r="W76" s="4" t="s">
        <v>58</v>
      </c>
      <c r="X76" s="4">
        <v>1711995694</v>
      </c>
      <c r="Y76" s="4" t="s">
        <v>169</v>
      </c>
      <c r="Z76" s="4" t="s">
        <v>55</v>
      </c>
      <c r="AA76" s="4" t="s">
        <v>60</v>
      </c>
      <c r="AB76" s="4" t="s">
        <v>61</v>
      </c>
      <c r="AC76" s="4">
        <v>443</v>
      </c>
      <c r="AD76" s="4" t="s">
        <v>62</v>
      </c>
      <c r="AE76" s="4" t="s">
        <v>55</v>
      </c>
      <c r="AF76" s="4" t="s">
        <v>55</v>
      </c>
      <c r="AG76" s="4" t="s">
        <v>205</v>
      </c>
      <c r="AH76" s="4">
        <v>840103</v>
      </c>
      <c r="AI76" s="4" t="s">
        <v>139</v>
      </c>
      <c r="AJ76" s="4" t="s">
        <v>55</v>
      </c>
      <c r="AK76" s="5">
        <v>45610</v>
      </c>
      <c r="AL76" s="6">
        <v>45611</v>
      </c>
      <c r="AM76" s="6">
        <v>46081</v>
      </c>
      <c r="AN76" s="4">
        <v>10</v>
      </c>
      <c r="AO76" s="6">
        <v>49260</v>
      </c>
      <c r="AP76" s="9">
        <v>22.98</v>
      </c>
      <c r="AQ76" s="9">
        <v>2.2999999999999998</v>
      </c>
      <c r="AR76" s="9">
        <v>20.29</v>
      </c>
      <c r="AS76" s="9">
        <v>2.69</v>
      </c>
      <c r="AT76" s="4" t="s">
        <v>49</v>
      </c>
    </row>
    <row r="77" spans="1:46" ht="75" hidden="1" x14ac:dyDescent="0.25">
      <c r="A77" s="4">
        <v>39255031</v>
      </c>
      <c r="B77" s="4" t="str">
        <f>""</f>
        <v/>
      </c>
      <c r="C77" s="4" t="str">
        <f t="shared" si="10"/>
        <v>300100280007</v>
      </c>
      <c r="D77" s="4">
        <v>15</v>
      </c>
      <c r="E77" s="4" t="s">
        <v>132</v>
      </c>
      <c r="F77" s="4" t="s">
        <v>209</v>
      </c>
      <c r="G77" s="4" t="str">
        <f>"39255031"</f>
        <v>39255031</v>
      </c>
      <c r="H77" s="4" t="str">
        <f t="shared" si="11"/>
        <v>SILLA DE VISITA</v>
      </c>
      <c r="I77" s="4" t="str">
        <f t="shared" si="9"/>
        <v>N/A</v>
      </c>
      <c r="J77" s="4" t="s">
        <v>49</v>
      </c>
      <c r="K77" s="4"/>
      <c r="L77" s="9">
        <v>22.98</v>
      </c>
      <c r="M77" s="4" t="s">
        <v>49</v>
      </c>
      <c r="N77" s="4" t="s">
        <v>174</v>
      </c>
      <c r="O77" s="4" t="s">
        <v>203</v>
      </c>
      <c r="P77" s="4" t="s">
        <v>204</v>
      </c>
      <c r="Q77" s="4" t="s">
        <v>54</v>
      </c>
      <c r="R77" s="4" t="s">
        <v>55</v>
      </c>
      <c r="S77" s="4" t="s">
        <v>56</v>
      </c>
      <c r="T77" s="4">
        <v>6</v>
      </c>
      <c r="U77" s="4" t="s">
        <v>57</v>
      </c>
      <c r="V77" s="4">
        <v>97459</v>
      </c>
      <c r="W77" s="4" t="s">
        <v>58</v>
      </c>
      <c r="X77" s="4">
        <v>1003429584</v>
      </c>
      <c r="Y77" s="4" t="s">
        <v>95</v>
      </c>
      <c r="Z77" s="4" t="s">
        <v>55</v>
      </c>
      <c r="AA77" s="4" t="s">
        <v>60</v>
      </c>
      <c r="AB77" s="4" t="s">
        <v>61</v>
      </c>
      <c r="AC77" s="4">
        <v>443</v>
      </c>
      <c r="AD77" s="4" t="s">
        <v>62</v>
      </c>
      <c r="AE77" s="4" t="s">
        <v>55</v>
      </c>
      <c r="AF77" s="4" t="s">
        <v>55</v>
      </c>
      <c r="AG77" s="4" t="s">
        <v>205</v>
      </c>
      <c r="AH77" s="4">
        <v>840103</v>
      </c>
      <c r="AI77" s="4" t="s">
        <v>139</v>
      </c>
      <c r="AJ77" s="4" t="s">
        <v>55</v>
      </c>
      <c r="AK77" s="5">
        <v>45610</v>
      </c>
      <c r="AL77" s="6">
        <v>45611</v>
      </c>
      <c r="AM77" s="6">
        <v>46081</v>
      </c>
      <c r="AN77" s="4">
        <v>10</v>
      </c>
      <c r="AO77" s="6">
        <v>49260</v>
      </c>
      <c r="AP77" s="9">
        <v>22.98</v>
      </c>
      <c r="AQ77" s="9">
        <v>2.2999999999999998</v>
      </c>
      <c r="AR77" s="9">
        <v>20.29</v>
      </c>
      <c r="AS77" s="9">
        <v>2.69</v>
      </c>
      <c r="AT77" s="4" t="s">
        <v>49</v>
      </c>
    </row>
    <row r="78" spans="1:46" ht="75" hidden="1" x14ac:dyDescent="0.25">
      <c r="A78" s="4">
        <v>39255032</v>
      </c>
      <c r="B78" s="4" t="str">
        <f>""</f>
        <v/>
      </c>
      <c r="C78" s="4" t="str">
        <f t="shared" si="10"/>
        <v>300100280007</v>
      </c>
      <c r="D78" s="4">
        <v>15</v>
      </c>
      <c r="E78" s="4" t="s">
        <v>132</v>
      </c>
      <c r="F78" s="4" t="s">
        <v>209</v>
      </c>
      <c r="G78" s="4" t="str">
        <f>"39255032"</f>
        <v>39255032</v>
      </c>
      <c r="H78" s="4" t="str">
        <f t="shared" si="11"/>
        <v>SILLA DE VISITA</v>
      </c>
      <c r="I78" s="4" t="str">
        <f t="shared" si="9"/>
        <v>N/A</v>
      </c>
      <c r="J78" s="4" t="s">
        <v>49</v>
      </c>
      <c r="K78" s="4"/>
      <c r="L78" s="9">
        <v>22.98</v>
      </c>
      <c r="M78" s="4" t="s">
        <v>49</v>
      </c>
      <c r="N78" s="4" t="s">
        <v>174</v>
      </c>
      <c r="O78" s="4" t="s">
        <v>203</v>
      </c>
      <c r="P78" s="4" t="s">
        <v>204</v>
      </c>
      <c r="Q78" s="4" t="s">
        <v>54</v>
      </c>
      <c r="R78" s="4" t="s">
        <v>55</v>
      </c>
      <c r="S78" s="4" t="s">
        <v>56</v>
      </c>
      <c r="T78" s="4">
        <v>6</v>
      </c>
      <c r="U78" s="4" t="s">
        <v>57</v>
      </c>
      <c r="V78" s="4">
        <v>97459</v>
      </c>
      <c r="W78" s="4" t="s">
        <v>58</v>
      </c>
      <c r="X78" s="4">
        <v>102936168</v>
      </c>
      <c r="Y78" s="4" t="s">
        <v>59</v>
      </c>
      <c r="Z78" s="4" t="s">
        <v>55</v>
      </c>
      <c r="AA78" s="4" t="s">
        <v>60</v>
      </c>
      <c r="AB78" s="4" t="s">
        <v>61</v>
      </c>
      <c r="AC78" s="4">
        <v>443</v>
      </c>
      <c r="AD78" s="4" t="s">
        <v>62</v>
      </c>
      <c r="AE78" s="4" t="s">
        <v>55</v>
      </c>
      <c r="AF78" s="4" t="s">
        <v>55</v>
      </c>
      <c r="AG78" s="4" t="s">
        <v>205</v>
      </c>
      <c r="AH78" s="4">
        <v>840103</v>
      </c>
      <c r="AI78" s="4" t="s">
        <v>139</v>
      </c>
      <c r="AJ78" s="4" t="s">
        <v>55</v>
      </c>
      <c r="AK78" s="5">
        <v>45610</v>
      </c>
      <c r="AL78" s="6">
        <v>45610</v>
      </c>
      <c r="AM78" s="6">
        <v>46081</v>
      </c>
      <c r="AN78" s="4">
        <v>10</v>
      </c>
      <c r="AO78" s="6">
        <v>49259</v>
      </c>
      <c r="AP78" s="9">
        <v>22.98</v>
      </c>
      <c r="AQ78" s="9">
        <v>2.2999999999999998</v>
      </c>
      <c r="AR78" s="9">
        <v>20.28</v>
      </c>
      <c r="AS78" s="9">
        <v>2.7</v>
      </c>
      <c r="AT78" s="4" t="s">
        <v>49</v>
      </c>
    </row>
    <row r="79" spans="1:46" ht="75" hidden="1" x14ac:dyDescent="0.25">
      <c r="A79" s="4">
        <v>39255033</v>
      </c>
      <c r="B79" s="4" t="str">
        <f>""</f>
        <v/>
      </c>
      <c r="C79" s="4" t="str">
        <f t="shared" si="10"/>
        <v>300100280007</v>
      </c>
      <c r="D79" s="4">
        <v>15</v>
      </c>
      <c r="E79" s="4" t="s">
        <v>132</v>
      </c>
      <c r="F79" s="4" t="s">
        <v>209</v>
      </c>
      <c r="G79" s="4" t="str">
        <f>"39255033"</f>
        <v>39255033</v>
      </c>
      <c r="H79" s="4" t="str">
        <f t="shared" si="11"/>
        <v>SILLA DE VISITA</v>
      </c>
      <c r="I79" s="4" t="str">
        <f t="shared" si="9"/>
        <v>N/A</v>
      </c>
      <c r="J79" s="4" t="s">
        <v>49</v>
      </c>
      <c r="K79" s="4"/>
      <c r="L79" s="9">
        <v>22.98</v>
      </c>
      <c r="M79" s="4" t="s">
        <v>49</v>
      </c>
      <c r="N79" s="4" t="s">
        <v>174</v>
      </c>
      <c r="O79" s="4" t="s">
        <v>203</v>
      </c>
      <c r="P79" s="4" t="s">
        <v>204</v>
      </c>
      <c r="Q79" s="4" t="s">
        <v>54</v>
      </c>
      <c r="R79" s="4" t="s">
        <v>55</v>
      </c>
      <c r="S79" s="4" t="s">
        <v>56</v>
      </c>
      <c r="T79" s="4">
        <v>6</v>
      </c>
      <c r="U79" s="4" t="s">
        <v>57</v>
      </c>
      <c r="V79" s="4">
        <v>97459</v>
      </c>
      <c r="W79" s="4" t="s">
        <v>58</v>
      </c>
      <c r="X79" s="4">
        <v>102936168</v>
      </c>
      <c r="Y79" s="4" t="s">
        <v>59</v>
      </c>
      <c r="Z79" s="4" t="s">
        <v>55</v>
      </c>
      <c r="AA79" s="4" t="s">
        <v>60</v>
      </c>
      <c r="AB79" s="4" t="s">
        <v>61</v>
      </c>
      <c r="AC79" s="4">
        <v>443</v>
      </c>
      <c r="AD79" s="4" t="s">
        <v>62</v>
      </c>
      <c r="AE79" s="4" t="s">
        <v>55</v>
      </c>
      <c r="AF79" s="4" t="s">
        <v>55</v>
      </c>
      <c r="AG79" s="4" t="s">
        <v>205</v>
      </c>
      <c r="AH79" s="4">
        <v>840103</v>
      </c>
      <c r="AI79" s="4" t="s">
        <v>139</v>
      </c>
      <c r="AJ79" s="4" t="s">
        <v>55</v>
      </c>
      <c r="AK79" s="5">
        <v>45610</v>
      </c>
      <c r="AL79" s="6">
        <v>45611</v>
      </c>
      <c r="AM79" s="6">
        <v>46081</v>
      </c>
      <c r="AN79" s="4">
        <v>10</v>
      </c>
      <c r="AO79" s="6">
        <v>49260</v>
      </c>
      <c r="AP79" s="9">
        <v>22.98</v>
      </c>
      <c r="AQ79" s="9">
        <v>2.2999999999999998</v>
      </c>
      <c r="AR79" s="9">
        <v>20.29</v>
      </c>
      <c r="AS79" s="9">
        <v>2.69</v>
      </c>
      <c r="AT79" s="4" t="s">
        <v>49</v>
      </c>
    </row>
    <row r="80" spans="1:46" ht="75" hidden="1" x14ac:dyDescent="0.25">
      <c r="A80" s="4">
        <v>39255034</v>
      </c>
      <c r="B80" s="4" t="str">
        <f>""</f>
        <v/>
      </c>
      <c r="C80" s="4" t="str">
        <f t="shared" si="10"/>
        <v>300100280007</v>
      </c>
      <c r="D80" s="4">
        <v>15</v>
      </c>
      <c r="E80" s="4" t="s">
        <v>132</v>
      </c>
      <c r="F80" s="4" t="s">
        <v>209</v>
      </c>
      <c r="G80" s="4" t="str">
        <f>"39255034"</f>
        <v>39255034</v>
      </c>
      <c r="H80" s="4" t="str">
        <f t="shared" si="11"/>
        <v>SILLA DE VISITA</v>
      </c>
      <c r="I80" s="4" t="str">
        <f t="shared" si="9"/>
        <v>N/A</v>
      </c>
      <c r="J80" s="4" t="s">
        <v>49</v>
      </c>
      <c r="K80" s="4"/>
      <c r="L80" s="9">
        <v>22.98</v>
      </c>
      <c r="M80" s="4" t="s">
        <v>49</v>
      </c>
      <c r="N80" s="4" t="s">
        <v>174</v>
      </c>
      <c r="O80" s="4" t="s">
        <v>203</v>
      </c>
      <c r="P80" s="4" t="s">
        <v>204</v>
      </c>
      <c r="Q80" s="4" t="s">
        <v>54</v>
      </c>
      <c r="R80" s="4" t="s">
        <v>55</v>
      </c>
      <c r="S80" s="4" t="s">
        <v>56</v>
      </c>
      <c r="T80" s="4">
        <v>6</v>
      </c>
      <c r="U80" s="4" t="s">
        <v>57</v>
      </c>
      <c r="V80" s="4">
        <v>97459</v>
      </c>
      <c r="W80" s="4" t="s">
        <v>58</v>
      </c>
      <c r="X80" s="4">
        <v>102936168</v>
      </c>
      <c r="Y80" s="4" t="s">
        <v>59</v>
      </c>
      <c r="Z80" s="4" t="s">
        <v>55</v>
      </c>
      <c r="AA80" s="4" t="s">
        <v>60</v>
      </c>
      <c r="AB80" s="4" t="s">
        <v>61</v>
      </c>
      <c r="AC80" s="4">
        <v>443</v>
      </c>
      <c r="AD80" s="4" t="s">
        <v>62</v>
      </c>
      <c r="AE80" s="4" t="s">
        <v>55</v>
      </c>
      <c r="AF80" s="4" t="s">
        <v>55</v>
      </c>
      <c r="AG80" s="4" t="s">
        <v>205</v>
      </c>
      <c r="AH80" s="4">
        <v>840103</v>
      </c>
      <c r="AI80" s="4" t="s">
        <v>139</v>
      </c>
      <c r="AJ80" s="4" t="s">
        <v>55</v>
      </c>
      <c r="AK80" s="5">
        <v>45610</v>
      </c>
      <c r="AL80" s="6">
        <v>45611</v>
      </c>
      <c r="AM80" s="6">
        <v>46081</v>
      </c>
      <c r="AN80" s="4">
        <v>10</v>
      </c>
      <c r="AO80" s="6">
        <v>49260</v>
      </c>
      <c r="AP80" s="9">
        <v>22.98</v>
      </c>
      <c r="AQ80" s="9">
        <v>2.2999999999999998</v>
      </c>
      <c r="AR80" s="9">
        <v>20.29</v>
      </c>
      <c r="AS80" s="9">
        <v>2.69</v>
      </c>
      <c r="AT80" s="4" t="s">
        <v>49</v>
      </c>
    </row>
    <row r="81" spans="1:46" ht="75" hidden="1" x14ac:dyDescent="0.25">
      <c r="A81" s="4">
        <v>39255035</v>
      </c>
      <c r="B81" s="4" t="str">
        <f>""</f>
        <v/>
      </c>
      <c r="C81" s="4" t="str">
        <f t="shared" si="10"/>
        <v>300100280007</v>
      </c>
      <c r="D81" s="4">
        <v>15</v>
      </c>
      <c r="E81" s="4" t="s">
        <v>132</v>
      </c>
      <c r="F81" s="4" t="s">
        <v>209</v>
      </c>
      <c r="G81" s="4" t="str">
        <f>"39255035"</f>
        <v>39255035</v>
      </c>
      <c r="H81" s="4" t="str">
        <f t="shared" si="11"/>
        <v>SILLA DE VISITA</v>
      </c>
      <c r="I81" s="4" t="str">
        <f t="shared" si="9"/>
        <v>N/A</v>
      </c>
      <c r="J81" s="4" t="s">
        <v>49</v>
      </c>
      <c r="K81" s="4"/>
      <c r="L81" s="9">
        <v>22.98</v>
      </c>
      <c r="M81" s="4" t="s">
        <v>49</v>
      </c>
      <c r="N81" s="4" t="s">
        <v>174</v>
      </c>
      <c r="O81" s="4" t="s">
        <v>203</v>
      </c>
      <c r="P81" s="4" t="s">
        <v>204</v>
      </c>
      <c r="Q81" s="4" t="s">
        <v>54</v>
      </c>
      <c r="R81" s="4" t="s">
        <v>55</v>
      </c>
      <c r="S81" s="4" t="s">
        <v>56</v>
      </c>
      <c r="T81" s="4">
        <v>6</v>
      </c>
      <c r="U81" s="4" t="s">
        <v>57</v>
      </c>
      <c r="V81" s="4">
        <v>97459</v>
      </c>
      <c r="W81" s="4" t="s">
        <v>58</v>
      </c>
      <c r="X81" s="4">
        <v>102936168</v>
      </c>
      <c r="Y81" s="4" t="s">
        <v>59</v>
      </c>
      <c r="Z81" s="4" t="s">
        <v>55</v>
      </c>
      <c r="AA81" s="4" t="s">
        <v>60</v>
      </c>
      <c r="AB81" s="4" t="s">
        <v>61</v>
      </c>
      <c r="AC81" s="4">
        <v>443</v>
      </c>
      <c r="AD81" s="4" t="s">
        <v>62</v>
      </c>
      <c r="AE81" s="4" t="s">
        <v>55</v>
      </c>
      <c r="AF81" s="4" t="s">
        <v>55</v>
      </c>
      <c r="AG81" s="4" t="s">
        <v>205</v>
      </c>
      <c r="AH81" s="4">
        <v>840103</v>
      </c>
      <c r="AI81" s="4" t="s">
        <v>139</v>
      </c>
      <c r="AJ81" s="4" t="s">
        <v>55</v>
      </c>
      <c r="AK81" s="5">
        <v>45610</v>
      </c>
      <c r="AL81" s="6">
        <v>45611</v>
      </c>
      <c r="AM81" s="6">
        <v>46081</v>
      </c>
      <c r="AN81" s="4">
        <v>10</v>
      </c>
      <c r="AO81" s="6">
        <v>49260</v>
      </c>
      <c r="AP81" s="9">
        <v>22.98</v>
      </c>
      <c r="AQ81" s="9">
        <v>2.2999999999999998</v>
      </c>
      <c r="AR81" s="9">
        <v>20.29</v>
      </c>
      <c r="AS81" s="9">
        <v>2.69</v>
      </c>
      <c r="AT81" s="4" t="s">
        <v>49</v>
      </c>
    </row>
    <row r="82" spans="1:46" ht="75" hidden="1" x14ac:dyDescent="0.25">
      <c r="A82" s="4">
        <v>39255036</v>
      </c>
      <c r="B82" s="4" t="str">
        <f>""</f>
        <v/>
      </c>
      <c r="C82" s="4" t="str">
        <f t="shared" si="10"/>
        <v>300100280007</v>
      </c>
      <c r="D82" s="4">
        <v>15</v>
      </c>
      <c r="E82" s="4" t="s">
        <v>132</v>
      </c>
      <c r="F82" s="4" t="s">
        <v>209</v>
      </c>
      <c r="G82" s="4" t="str">
        <f>"39255036"</f>
        <v>39255036</v>
      </c>
      <c r="H82" s="4" t="str">
        <f t="shared" si="11"/>
        <v>SILLA DE VISITA</v>
      </c>
      <c r="I82" s="4" t="str">
        <f t="shared" si="9"/>
        <v>N/A</v>
      </c>
      <c r="J82" s="4" t="s">
        <v>49</v>
      </c>
      <c r="K82" s="4"/>
      <c r="L82" s="9">
        <v>22.98</v>
      </c>
      <c r="M82" s="4" t="s">
        <v>49</v>
      </c>
      <c r="N82" s="4" t="s">
        <v>174</v>
      </c>
      <c r="O82" s="4" t="s">
        <v>203</v>
      </c>
      <c r="P82" s="4" t="s">
        <v>204</v>
      </c>
      <c r="Q82" s="4" t="s">
        <v>54</v>
      </c>
      <c r="R82" s="4" t="s">
        <v>55</v>
      </c>
      <c r="S82" s="4" t="s">
        <v>56</v>
      </c>
      <c r="T82" s="4">
        <v>6</v>
      </c>
      <c r="U82" s="4" t="s">
        <v>57</v>
      </c>
      <c r="V82" s="4">
        <v>97459</v>
      </c>
      <c r="W82" s="4" t="s">
        <v>58</v>
      </c>
      <c r="X82" s="4">
        <v>102936168</v>
      </c>
      <c r="Y82" s="4" t="s">
        <v>59</v>
      </c>
      <c r="Z82" s="4" t="s">
        <v>55</v>
      </c>
      <c r="AA82" s="4" t="s">
        <v>60</v>
      </c>
      <c r="AB82" s="4" t="s">
        <v>61</v>
      </c>
      <c r="AC82" s="4">
        <v>443</v>
      </c>
      <c r="AD82" s="4" t="s">
        <v>62</v>
      </c>
      <c r="AE82" s="4" t="s">
        <v>55</v>
      </c>
      <c r="AF82" s="4" t="s">
        <v>55</v>
      </c>
      <c r="AG82" s="4" t="s">
        <v>205</v>
      </c>
      <c r="AH82" s="4">
        <v>840103</v>
      </c>
      <c r="AI82" s="4" t="s">
        <v>139</v>
      </c>
      <c r="AJ82" s="4" t="s">
        <v>55</v>
      </c>
      <c r="AK82" s="5">
        <v>45610</v>
      </c>
      <c r="AL82" s="6">
        <v>45611</v>
      </c>
      <c r="AM82" s="6">
        <v>46081</v>
      </c>
      <c r="AN82" s="4">
        <v>10</v>
      </c>
      <c r="AO82" s="6">
        <v>49260</v>
      </c>
      <c r="AP82" s="9">
        <v>22.98</v>
      </c>
      <c r="AQ82" s="9">
        <v>2.2999999999999998</v>
      </c>
      <c r="AR82" s="9">
        <v>20.29</v>
      </c>
      <c r="AS82" s="9">
        <v>2.69</v>
      </c>
      <c r="AT82" s="4" t="s">
        <v>49</v>
      </c>
    </row>
    <row r="83" spans="1:46" ht="75" hidden="1" x14ac:dyDescent="0.25">
      <c r="A83" s="4">
        <v>39255037</v>
      </c>
      <c r="B83" s="4" t="str">
        <f>""</f>
        <v/>
      </c>
      <c r="C83" s="4" t="str">
        <f t="shared" si="10"/>
        <v>300100280007</v>
      </c>
      <c r="D83" s="4">
        <v>15</v>
      </c>
      <c r="E83" s="4" t="s">
        <v>132</v>
      </c>
      <c r="F83" s="4" t="s">
        <v>209</v>
      </c>
      <c r="G83" s="4" t="str">
        <f>"39255037"</f>
        <v>39255037</v>
      </c>
      <c r="H83" s="4" t="str">
        <f t="shared" si="11"/>
        <v>SILLA DE VISITA</v>
      </c>
      <c r="I83" s="4" t="str">
        <f t="shared" si="9"/>
        <v>N/A</v>
      </c>
      <c r="J83" s="4" t="s">
        <v>49</v>
      </c>
      <c r="K83" s="4"/>
      <c r="L83" s="9">
        <v>22.98</v>
      </c>
      <c r="M83" s="4" t="s">
        <v>49</v>
      </c>
      <c r="N83" s="4" t="s">
        <v>174</v>
      </c>
      <c r="O83" s="4" t="s">
        <v>203</v>
      </c>
      <c r="P83" s="4" t="s">
        <v>204</v>
      </c>
      <c r="Q83" s="4" t="s">
        <v>54</v>
      </c>
      <c r="R83" s="4" t="s">
        <v>55</v>
      </c>
      <c r="S83" s="4" t="s">
        <v>56</v>
      </c>
      <c r="T83" s="4">
        <v>6</v>
      </c>
      <c r="U83" s="4" t="s">
        <v>57</v>
      </c>
      <c r="V83" s="4">
        <v>97459</v>
      </c>
      <c r="W83" s="4" t="s">
        <v>58</v>
      </c>
      <c r="X83" s="4">
        <v>102936168</v>
      </c>
      <c r="Y83" s="4" t="s">
        <v>59</v>
      </c>
      <c r="Z83" s="4" t="s">
        <v>55</v>
      </c>
      <c r="AA83" s="4" t="s">
        <v>60</v>
      </c>
      <c r="AB83" s="4" t="s">
        <v>61</v>
      </c>
      <c r="AC83" s="4">
        <v>443</v>
      </c>
      <c r="AD83" s="4" t="s">
        <v>62</v>
      </c>
      <c r="AE83" s="4" t="s">
        <v>55</v>
      </c>
      <c r="AF83" s="4" t="s">
        <v>55</v>
      </c>
      <c r="AG83" s="4" t="s">
        <v>205</v>
      </c>
      <c r="AH83" s="4">
        <v>840103</v>
      </c>
      <c r="AI83" s="4" t="s">
        <v>139</v>
      </c>
      <c r="AJ83" s="4" t="s">
        <v>55</v>
      </c>
      <c r="AK83" s="5">
        <v>45610</v>
      </c>
      <c r="AL83" s="6">
        <v>45611</v>
      </c>
      <c r="AM83" s="6">
        <v>46081</v>
      </c>
      <c r="AN83" s="4">
        <v>10</v>
      </c>
      <c r="AO83" s="6">
        <v>49260</v>
      </c>
      <c r="AP83" s="9">
        <v>22.98</v>
      </c>
      <c r="AQ83" s="9">
        <v>2.2999999999999998</v>
      </c>
      <c r="AR83" s="9">
        <v>20.29</v>
      </c>
      <c r="AS83" s="9">
        <v>2.69</v>
      </c>
      <c r="AT83" s="4" t="s">
        <v>49</v>
      </c>
    </row>
    <row r="84" spans="1:46" ht="75" hidden="1" x14ac:dyDescent="0.25">
      <c r="A84" s="4">
        <v>39255038</v>
      </c>
      <c r="B84" s="4" t="str">
        <f>""</f>
        <v/>
      </c>
      <c r="C84" s="4" t="str">
        <f t="shared" si="10"/>
        <v>300100280007</v>
      </c>
      <c r="D84" s="4">
        <v>15</v>
      </c>
      <c r="E84" s="4" t="s">
        <v>132</v>
      </c>
      <c r="F84" s="4" t="s">
        <v>209</v>
      </c>
      <c r="G84" s="4" t="str">
        <f>"39255038"</f>
        <v>39255038</v>
      </c>
      <c r="H84" s="4" t="str">
        <f t="shared" si="11"/>
        <v>SILLA DE VISITA</v>
      </c>
      <c r="I84" s="4" t="str">
        <f t="shared" si="9"/>
        <v>N/A</v>
      </c>
      <c r="J84" s="4" t="s">
        <v>49</v>
      </c>
      <c r="K84" s="4"/>
      <c r="L84" s="9">
        <v>22.98</v>
      </c>
      <c r="M84" s="4" t="s">
        <v>49</v>
      </c>
      <c r="N84" s="4" t="s">
        <v>174</v>
      </c>
      <c r="O84" s="4" t="s">
        <v>203</v>
      </c>
      <c r="P84" s="4" t="s">
        <v>204</v>
      </c>
      <c r="Q84" s="4" t="s">
        <v>54</v>
      </c>
      <c r="R84" s="4" t="s">
        <v>55</v>
      </c>
      <c r="S84" s="4" t="s">
        <v>56</v>
      </c>
      <c r="T84" s="4">
        <v>6</v>
      </c>
      <c r="U84" s="4" t="s">
        <v>57</v>
      </c>
      <c r="V84" s="4">
        <v>97459</v>
      </c>
      <c r="W84" s="4" t="s">
        <v>58</v>
      </c>
      <c r="X84" s="4">
        <v>1709796500</v>
      </c>
      <c r="Y84" s="4" t="s">
        <v>157</v>
      </c>
      <c r="Z84" s="4" t="s">
        <v>55</v>
      </c>
      <c r="AA84" s="4" t="s">
        <v>60</v>
      </c>
      <c r="AB84" s="4" t="s">
        <v>61</v>
      </c>
      <c r="AC84" s="4">
        <v>443</v>
      </c>
      <c r="AD84" s="4" t="s">
        <v>62</v>
      </c>
      <c r="AE84" s="4" t="s">
        <v>55</v>
      </c>
      <c r="AF84" s="4" t="s">
        <v>55</v>
      </c>
      <c r="AG84" s="4" t="s">
        <v>205</v>
      </c>
      <c r="AH84" s="4">
        <v>840103</v>
      </c>
      <c r="AI84" s="4" t="s">
        <v>139</v>
      </c>
      <c r="AJ84" s="4" t="s">
        <v>55</v>
      </c>
      <c r="AK84" s="5">
        <v>45610</v>
      </c>
      <c r="AL84" s="6">
        <v>45611</v>
      </c>
      <c r="AM84" s="6">
        <v>46081</v>
      </c>
      <c r="AN84" s="4">
        <v>10</v>
      </c>
      <c r="AO84" s="6">
        <v>49260</v>
      </c>
      <c r="AP84" s="9">
        <v>22.98</v>
      </c>
      <c r="AQ84" s="9">
        <v>2.2999999999999998</v>
      </c>
      <c r="AR84" s="9">
        <v>20.29</v>
      </c>
      <c r="AS84" s="9">
        <v>2.69</v>
      </c>
      <c r="AT84" s="4" t="s">
        <v>49</v>
      </c>
    </row>
    <row r="85" spans="1:46" ht="75" hidden="1" x14ac:dyDescent="0.25">
      <c r="A85" s="4">
        <v>39255039</v>
      </c>
      <c r="B85" s="4" t="str">
        <f>""</f>
        <v/>
      </c>
      <c r="C85" s="4" t="str">
        <f t="shared" si="10"/>
        <v>300100280007</v>
      </c>
      <c r="D85" s="4">
        <v>15</v>
      </c>
      <c r="E85" s="4" t="s">
        <v>132</v>
      </c>
      <c r="F85" s="4" t="s">
        <v>209</v>
      </c>
      <c r="G85" s="4" t="str">
        <f>"39255039"</f>
        <v>39255039</v>
      </c>
      <c r="H85" s="4" t="str">
        <f t="shared" si="11"/>
        <v>SILLA DE VISITA</v>
      </c>
      <c r="I85" s="4" t="str">
        <f t="shared" si="9"/>
        <v>N/A</v>
      </c>
      <c r="J85" s="4" t="s">
        <v>49</v>
      </c>
      <c r="K85" s="4"/>
      <c r="L85" s="9">
        <v>22.98</v>
      </c>
      <c r="M85" s="4" t="s">
        <v>49</v>
      </c>
      <c r="N85" s="4" t="s">
        <v>174</v>
      </c>
      <c r="O85" s="4" t="s">
        <v>203</v>
      </c>
      <c r="P85" s="4" t="s">
        <v>204</v>
      </c>
      <c r="Q85" s="4" t="s">
        <v>54</v>
      </c>
      <c r="R85" s="4" t="s">
        <v>55</v>
      </c>
      <c r="S85" s="4" t="s">
        <v>56</v>
      </c>
      <c r="T85" s="4">
        <v>6</v>
      </c>
      <c r="U85" s="4" t="s">
        <v>57</v>
      </c>
      <c r="V85" s="4">
        <v>97459</v>
      </c>
      <c r="W85" s="4" t="s">
        <v>58</v>
      </c>
      <c r="X85" s="4">
        <v>1709796500</v>
      </c>
      <c r="Y85" s="4" t="s">
        <v>157</v>
      </c>
      <c r="Z85" s="4" t="s">
        <v>55</v>
      </c>
      <c r="AA85" s="4" t="s">
        <v>60</v>
      </c>
      <c r="AB85" s="4" t="s">
        <v>61</v>
      </c>
      <c r="AC85" s="4">
        <v>443</v>
      </c>
      <c r="AD85" s="4" t="s">
        <v>62</v>
      </c>
      <c r="AE85" s="4" t="s">
        <v>55</v>
      </c>
      <c r="AF85" s="4" t="s">
        <v>55</v>
      </c>
      <c r="AG85" s="4" t="s">
        <v>205</v>
      </c>
      <c r="AH85" s="4">
        <v>840103</v>
      </c>
      <c r="AI85" s="4" t="s">
        <v>139</v>
      </c>
      <c r="AJ85" s="4" t="s">
        <v>55</v>
      </c>
      <c r="AK85" s="5">
        <v>45610</v>
      </c>
      <c r="AL85" s="6">
        <v>45611</v>
      </c>
      <c r="AM85" s="6">
        <v>46081</v>
      </c>
      <c r="AN85" s="4">
        <v>10</v>
      </c>
      <c r="AO85" s="6">
        <v>49260</v>
      </c>
      <c r="AP85" s="9">
        <v>22.98</v>
      </c>
      <c r="AQ85" s="9">
        <v>2.2999999999999998</v>
      </c>
      <c r="AR85" s="9">
        <v>20.29</v>
      </c>
      <c r="AS85" s="9">
        <v>2.69</v>
      </c>
      <c r="AT85" s="4" t="s">
        <v>49</v>
      </c>
    </row>
    <row r="86" spans="1:46" ht="75" hidden="1" x14ac:dyDescent="0.25">
      <c r="A86" s="4">
        <v>39255040</v>
      </c>
      <c r="B86" s="4" t="str">
        <f>""</f>
        <v/>
      </c>
      <c r="C86" s="4" t="str">
        <f t="shared" si="10"/>
        <v>300100280007</v>
      </c>
      <c r="D86" s="4">
        <v>15</v>
      </c>
      <c r="E86" s="4" t="s">
        <v>132</v>
      </c>
      <c r="F86" s="4" t="s">
        <v>209</v>
      </c>
      <c r="G86" s="4" t="str">
        <f>"39255040"</f>
        <v>39255040</v>
      </c>
      <c r="H86" s="4" t="str">
        <f t="shared" si="11"/>
        <v>SILLA DE VISITA</v>
      </c>
      <c r="I86" s="4" t="str">
        <f t="shared" si="9"/>
        <v>N/A</v>
      </c>
      <c r="J86" s="4" t="s">
        <v>49</v>
      </c>
      <c r="K86" s="4"/>
      <c r="L86" s="9">
        <v>22.98</v>
      </c>
      <c r="M86" s="4" t="s">
        <v>49</v>
      </c>
      <c r="N86" s="4" t="s">
        <v>174</v>
      </c>
      <c r="O86" s="4" t="s">
        <v>203</v>
      </c>
      <c r="P86" s="4" t="s">
        <v>204</v>
      </c>
      <c r="Q86" s="4" t="s">
        <v>54</v>
      </c>
      <c r="R86" s="4" t="s">
        <v>55</v>
      </c>
      <c r="S86" s="4" t="s">
        <v>56</v>
      </c>
      <c r="T86" s="4">
        <v>6</v>
      </c>
      <c r="U86" s="4" t="s">
        <v>57</v>
      </c>
      <c r="V86" s="4">
        <v>97459</v>
      </c>
      <c r="W86" s="4" t="s">
        <v>58</v>
      </c>
      <c r="X86" s="4">
        <v>1709796500</v>
      </c>
      <c r="Y86" s="4" t="s">
        <v>157</v>
      </c>
      <c r="Z86" s="4" t="s">
        <v>55</v>
      </c>
      <c r="AA86" s="4" t="s">
        <v>60</v>
      </c>
      <c r="AB86" s="4" t="s">
        <v>61</v>
      </c>
      <c r="AC86" s="4">
        <v>443</v>
      </c>
      <c r="AD86" s="4" t="s">
        <v>62</v>
      </c>
      <c r="AE86" s="4" t="s">
        <v>55</v>
      </c>
      <c r="AF86" s="4" t="s">
        <v>55</v>
      </c>
      <c r="AG86" s="4" t="s">
        <v>205</v>
      </c>
      <c r="AH86" s="4">
        <v>840103</v>
      </c>
      <c r="AI86" s="4" t="s">
        <v>139</v>
      </c>
      <c r="AJ86" s="4" t="s">
        <v>55</v>
      </c>
      <c r="AK86" s="5">
        <v>45610</v>
      </c>
      <c r="AL86" s="6">
        <v>45611</v>
      </c>
      <c r="AM86" s="6">
        <v>46081</v>
      </c>
      <c r="AN86" s="4">
        <v>10</v>
      </c>
      <c r="AO86" s="6">
        <v>49260</v>
      </c>
      <c r="AP86" s="9">
        <v>22.98</v>
      </c>
      <c r="AQ86" s="9">
        <v>2.2999999999999998</v>
      </c>
      <c r="AR86" s="9">
        <v>20.29</v>
      </c>
      <c r="AS86" s="9">
        <v>2.69</v>
      </c>
      <c r="AT86" s="4" t="s">
        <v>49</v>
      </c>
    </row>
    <row r="87" spans="1:46" ht="75" hidden="1" x14ac:dyDescent="0.25">
      <c r="A87" s="4">
        <v>39255041</v>
      </c>
      <c r="B87" s="4" t="str">
        <f>""</f>
        <v/>
      </c>
      <c r="C87" s="4" t="str">
        <f t="shared" si="10"/>
        <v>300100280007</v>
      </c>
      <c r="D87" s="4">
        <v>15</v>
      </c>
      <c r="E87" s="4" t="s">
        <v>132</v>
      </c>
      <c r="F87" s="4" t="s">
        <v>209</v>
      </c>
      <c r="G87" s="4" t="str">
        <f>"39255041"</f>
        <v>39255041</v>
      </c>
      <c r="H87" s="4" t="str">
        <f t="shared" si="11"/>
        <v>SILLA DE VISITA</v>
      </c>
      <c r="I87" s="4" t="str">
        <f t="shared" si="9"/>
        <v>N/A</v>
      </c>
      <c r="J87" s="4" t="s">
        <v>49</v>
      </c>
      <c r="K87" s="4"/>
      <c r="L87" s="9">
        <v>22.98</v>
      </c>
      <c r="M87" s="4" t="s">
        <v>49</v>
      </c>
      <c r="N87" s="4" t="s">
        <v>174</v>
      </c>
      <c r="O87" s="4" t="s">
        <v>203</v>
      </c>
      <c r="P87" s="4" t="s">
        <v>204</v>
      </c>
      <c r="Q87" s="4" t="s">
        <v>54</v>
      </c>
      <c r="R87" s="4" t="s">
        <v>55</v>
      </c>
      <c r="S87" s="4" t="s">
        <v>56</v>
      </c>
      <c r="T87" s="4">
        <v>6</v>
      </c>
      <c r="U87" s="4" t="s">
        <v>57</v>
      </c>
      <c r="V87" s="4">
        <v>97459</v>
      </c>
      <c r="W87" s="4" t="s">
        <v>58</v>
      </c>
      <c r="X87" s="4">
        <v>1709796500</v>
      </c>
      <c r="Y87" s="4" t="s">
        <v>157</v>
      </c>
      <c r="Z87" s="4" t="s">
        <v>55</v>
      </c>
      <c r="AA87" s="4" t="s">
        <v>60</v>
      </c>
      <c r="AB87" s="4" t="s">
        <v>61</v>
      </c>
      <c r="AC87" s="4">
        <v>443</v>
      </c>
      <c r="AD87" s="4" t="s">
        <v>62</v>
      </c>
      <c r="AE87" s="4" t="s">
        <v>55</v>
      </c>
      <c r="AF87" s="4" t="s">
        <v>55</v>
      </c>
      <c r="AG87" s="4" t="s">
        <v>205</v>
      </c>
      <c r="AH87" s="4">
        <v>840103</v>
      </c>
      <c r="AI87" s="4" t="s">
        <v>139</v>
      </c>
      <c r="AJ87" s="4" t="s">
        <v>55</v>
      </c>
      <c r="AK87" s="5">
        <v>45610</v>
      </c>
      <c r="AL87" s="6">
        <v>45611</v>
      </c>
      <c r="AM87" s="6">
        <v>46081</v>
      </c>
      <c r="AN87" s="4">
        <v>10</v>
      </c>
      <c r="AO87" s="6">
        <v>49260</v>
      </c>
      <c r="AP87" s="9">
        <v>22.98</v>
      </c>
      <c r="AQ87" s="9">
        <v>2.2999999999999998</v>
      </c>
      <c r="AR87" s="9">
        <v>20.29</v>
      </c>
      <c r="AS87" s="9">
        <v>2.69</v>
      </c>
      <c r="AT87" s="4" t="s">
        <v>49</v>
      </c>
    </row>
    <row r="88" spans="1:46" ht="75" hidden="1" x14ac:dyDescent="0.25">
      <c r="A88" s="4">
        <v>39255042</v>
      </c>
      <c r="B88" s="4" t="str">
        <f>""</f>
        <v/>
      </c>
      <c r="C88" s="4" t="str">
        <f t="shared" si="10"/>
        <v>300100280007</v>
      </c>
      <c r="D88" s="4">
        <v>15</v>
      </c>
      <c r="E88" s="4" t="s">
        <v>132</v>
      </c>
      <c r="F88" s="4" t="s">
        <v>209</v>
      </c>
      <c r="G88" s="4" t="str">
        <f>"39255042"</f>
        <v>39255042</v>
      </c>
      <c r="H88" s="4" t="str">
        <f t="shared" si="11"/>
        <v>SILLA DE VISITA</v>
      </c>
      <c r="I88" s="4" t="str">
        <f t="shared" si="9"/>
        <v>N/A</v>
      </c>
      <c r="J88" s="4" t="s">
        <v>49</v>
      </c>
      <c r="K88" s="4"/>
      <c r="L88" s="9">
        <v>22.98</v>
      </c>
      <c r="M88" s="4" t="s">
        <v>49</v>
      </c>
      <c r="N88" s="4" t="s">
        <v>174</v>
      </c>
      <c r="O88" s="4" t="s">
        <v>203</v>
      </c>
      <c r="P88" s="4" t="s">
        <v>204</v>
      </c>
      <c r="Q88" s="4" t="s">
        <v>54</v>
      </c>
      <c r="R88" s="4" t="s">
        <v>55</v>
      </c>
      <c r="S88" s="4" t="s">
        <v>56</v>
      </c>
      <c r="T88" s="4">
        <v>6</v>
      </c>
      <c r="U88" s="4" t="s">
        <v>57</v>
      </c>
      <c r="V88" s="4">
        <v>97459</v>
      </c>
      <c r="W88" s="4" t="s">
        <v>58</v>
      </c>
      <c r="X88" s="4">
        <v>1709796500</v>
      </c>
      <c r="Y88" s="4" t="s">
        <v>157</v>
      </c>
      <c r="Z88" s="4" t="s">
        <v>55</v>
      </c>
      <c r="AA88" s="4" t="s">
        <v>60</v>
      </c>
      <c r="AB88" s="4" t="s">
        <v>61</v>
      </c>
      <c r="AC88" s="4">
        <v>443</v>
      </c>
      <c r="AD88" s="4" t="s">
        <v>62</v>
      </c>
      <c r="AE88" s="4" t="s">
        <v>55</v>
      </c>
      <c r="AF88" s="4" t="s">
        <v>55</v>
      </c>
      <c r="AG88" s="4" t="s">
        <v>205</v>
      </c>
      <c r="AH88" s="4">
        <v>840103</v>
      </c>
      <c r="AI88" s="4" t="s">
        <v>139</v>
      </c>
      <c r="AJ88" s="4" t="s">
        <v>55</v>
      </c>
      <c r="AK88" s="5">
        <v>45610</v>
      </c>
      <c r="AL88" s="6">
        <v>45611</v>
      </c>
      <c r="AM88" s="6">
        <v>46081</v>
      </c>
      <c r="AN88" s="4">
        <v>10</v>
      </c>
      <c r="AO88" s="6">
        <v>49260</v>
      </c>
      <c r="AP88" s="9">
        <v>22.98</v>
      </c>
      <c r="AQ88" s="9">
        <v>2.2999999999999998</v>
      </c>
      <c r="AR88" s="9">
        <v>20.29</v>
      </c>
      <c r="AS88" s="9">
        <v>2.69</v>
      </c>
      <c r="AT88" s="4" t="s">
        <v>49</v>
      </c>
    </row>
    <row r="89" spans="1:46" ht="75" hidden="1" x14ac:dyDescent="0.25">
      <c r="A89" s="4">
        <v>39255043</v>
      </c>
      <c r="B89" s="4" t="str">
        <f>""</f>
        <v/>
      </c>
      <c r="C89" s="4" t="str">
        <f t="shared" si="10"/>
        <v>300100280007</v>
      </c>
      <c r="D89" s="4">
        <v>15</v>
      </c>
      <c r="E89" s="4" t="s">
        <v>132</v>
      </c>
      <c r="F89" s="4" t="s">
        <v>209</v>
      </c>
      <c r="G89" s="4" t="str">
        <f>"39255043"</f>
        <v>39255043</v>
      </c>
      <c r="H89" s="4" t="str">
        <f t="shared" si="11"/>
        <v>SILLA DE VISITA</v>
      </c>
      <c r="I89" s="4" t="str">
        <f t="shared" si="9"/>
        <v>N/A</v>
      </c>
      <c r="J89" s="4" t="s">
        <v>49</v>
      </c>
      <c r="K89" s="4"/>
      <c r="L89" s="9">
        <v>22.98</v>
      </c>
      <c r="M89" s="4" t="s">
        <v>49</v>
      </c>
      <c r="N89" s="4" t="s">
        <v>174</v>
      </c>
      <c r="O89" s="4" t="s">
        <v>203</v>
      </c>
      <c r="P89" s="4" t="s">
        <v>204</v>
      </c>
      <c r="Q89" s="4" t="s">
        <v>54</v>
      </c>
      <c r="R89" s="4" t="s">
        <v>55</v>
      </c>
      <c r="S89" s="4" t="s">
        <v>56</v>
      </c>
      <c r="T89" s="4">
        <v>6</v>
      </c>
      <c r="U89" s="4" t="s">
        <v>57</v>
      </c>
      <c r="V89" s="4">
        <v>97459</v>
      </c>
      <c r="W89" s="4" t="s">
        <v>58</v>
      </c>
      <c r="X89" s="4">
        <v>1709796500</v>
      </c>
      <c r="Y89" s="4" t="s">
        <v>157</v>
      </c>
      <c r="Z89" s="4" t="s">
        <v>55</v>
      </c>
      <c r="AA89" s="4" t="s">
        <v>60</v>
      </c>
      <c r="AB89" s="4" t="s">
        <v>61</v>
      </c>
      <c r="AC89" s="4">
        <v>443</v>
      </c>
      <c r="AD89" s="4" t="s">
        <v>62</v>
      </c>
      <c r="AE89" s="4" t="s">
        <v>55</v>
      </c>
      <c r="AF89" s="4" t="s">
        <v>55</v>
      </c>
      <c r="AG89" s="4" t="s">
        <v>205</v>
      </c>
      <c r="AH89" s="4">
        <v>840103</v>
      </c>
      <c r="AI89" s="4" t="s">
        <v>139</v>
      </c>
      <c r="AJ89" s="4" t="s">
        <v>55</v>
      </c>
      <c r="AK89" s="5">
        <v>45610</v>
      </c>
      <c r="AL89" s="6">
        <v>45611</v>
      </c>
      <c r="AM89" s="6">
        <v>46081</v>
      </c>
      <c r="AN89" s="4">
        <v>10</v>
      </c>
      <c r="AO89" s="6">
        <v>49260</v>
      </c>
      <c r="AP89" s="9">
        <v>22.98</v>
      </c>
      <c r="AQ89" s="9">
        <v>2.2999999999999998</v>
      </c>
      <c r="AR89" s="9">
        <v>20.29</v>
      </c>
      <c r="AS89" s="9">
        <v>2.69</v>
      </c>
      <c r="AT89" s="4" t="s">
        <v>49</v>
      </c>
    </row>
    <row r="90" spans="1:46" ht="75" hidden="1" x14ac:dyDescent="0.25">
      <c r="A90" s="4">
        <v>39255044</v>
      </c>
      <c r="B90" s="4" t="str">
        <f>""</f>
        <v/>
      </c>
      <c r="C90" s="4" t="str">
        <f t="shared" si="10"/>
        <v>300100280007</v>
      </c>
      <c r="D90" s="4">
        <v>15</v>
      </c>
      <c r="E90" s="4" t="s">
        <v>132</v>
      </c>
      <c r="F90" s="4" t="s">
        <v>209</v>
      </c>
      <c r="G90" s="4" t="str">
        <f>"39255044"</f>
        <v>39255044</v>
      </c>
      <c r="H90" s="4" t="str">
        <f t="shared" si="11"/>
        <v>SILLA DE VISITA</v>
      </c>
      <c r="I90" s="4" t="str">
        <f t="shared" si="9"/>
        <v>N/A</v>
      </c>
      <c r="J90" s="4" t="s">
        <v>49</v>
      </c>
      <c r="K90" s="4"/>
      <c r="L90" s="9">
        <v>22.98</v>
      </c>
      <c r="M90" s="4" t="s">
        <v>49</v>
      </c>
      <c r="N90" s="4" t="s">
        <v>174</v>
      </c>
      <c r="O90" s="4" t="s">
        <v>203</v>
      </c>
      <c r="P90" s="4" t="s">
        <v>204</v>
      </c>
      <c r="Q90" s="4" t="s">
        <v>54</v>
      </c>
      <c r="R90" s="4" t="s">
        <v>55</v>
      </c>
      <c r="S90" s="4" t="s">
        <v>56</v>
      </c>
      <c r="T90" s="4">
        <v>6</v>
      </c>
      <c r="U90" s="4" t="s">
        <v>57</v>
      </c>
      <c r="V90" s="4">
        <v>97459</v>
      </c>
      <c r="W90" s="4" t="s">
        <v>58</v>
      </c>
      <c r="X90" s="4">
        <v>1711995694</v>
      </c>
      <c r="Y90" s="4" t="s">
        <v>169</v>
      </c>
      <c r="Z90" s="4" t="s">
        <v>55</v>
      </c>
      <c r="AA90" s="4" t="s">
        <v>60</v>
      </c>
      <c r="AB90" s="4" t="s">
        <v>61</v>
      </c>
      <c r="AC90" s="4">
        <v>443</v>
      </c>
      <c r="AD90" s="4" t="s">
        <v>62</v>
      </c>
      <c r="AE90" s="4" t="s">
        <v>55</v>
      </c>
      <c r="AF90" s="4" t="s">
        <v>55</v>
      </c>
      <c r="AG90" s="4" t="s">
        <v>205</v>
      </c>
      <c r="AH90" s="4">
        <v>840103</v>
      </c>
      <c r="AI90" s="4" t="s">
        <v>139</v>
      </c>
      <c r="AJ90" s="4" t="s">
        <v>55</v>
      </c>
      <c r="AK90" s="5">
        <v>45610</v>
      </c>
      <c r="AL90" s="6">
        <v>45611</v>
      </c>
      <c r="AM90" s="6">
        <v>46081</v>
      </c>
      <c r="AN90" s="4">
        <v>10</v>
      </c>
      <c r="AO90" s="6">
        <v>49260</v>
      </c>
      <c r="AP90" s="9">
        <v>22.98</v>
      </c>
      <c r="AQ90" s="9">
        <v>2.2999999999999998</v>
      </c>
      <c r="AR90" s="9">
        <v>20.29</v>
      </c>
      <c r="AS90" s="9">
        <v>2.69</v>
      </c>
      <c r="AT90" s="4" t="s">
        <v>49</v>
      </c>
    </row>
    <row r="91" spans="1:46" ht="75" hidden="1" x14ac:dyDescent="0.25">
      <c r="A91" s="4">
        <v>39255045</v>
      </c>
      <c r="B91" s="4" t="str">
        <f>""</f>
        <v/>
      </c>
      <c r="C91" s="4" t="str">
        <f t="shared" ref="C91:C104" si="12">"300100280002"</f>
        <v>300100280002</v>
      </c>
      <c r="D91" s="4">
        <v>15</v>
      </c>
      <c r="E91" s="4" t="s">
        <v>132</v>
      </c>
      <c r="F91" s="4" t="s">
        <v>217</v>
      </c>
      <c r="G91" s="4" t="str">
        <f>"39255045"</f>
        <v>39255045</v>
      </c>
      <c r="H91" s="4" t="str">
        <f t="shared" ref="H91:H104" si="13">"SILLA TIYAKUY"</f>
        <v>SILLA TIYAKUY</v>
      </c>
      <c r="I91" s="4" t="str">
        <f t="shared" si="9"/>
        <v>N/A</v>
      </c>
      <c r="J91" s="4" t="s">
        <v>49</v>
      </c>
      <c r="K91" s="4"/>
      <c r="L91" s="9">
        <v>78</v>
      </c>
      <c r="M91" s="4" t="s">
        <v>49</v>
      </c>
      <c r="N91" s="4" t="s">
        <v>113</v>
      </c>
      <c r="O91" s="4" t="s">
        <v>203</v>
      </c>
      <c r="P91" s="4" t="s">
        <v>204</v>
      </c>
      <c r="Q91" s="4" t="s">
        <v>54</v>
      </c>
      <c r="R91" s="4" t="s">
        <v>55</v>
      </c>
      <c r="S91" s="4" t="s">
        <v>56</v>
      </c>
      <c r="T91" s="4">
        <v>6</v>
      </c>
      <c r="U91" s="4" t="s">
        <v>57</v>
      </c>
      <c r="V91" s="4">
        <v>97459</v>
      </c>
      <c r="W91" s="4" t="s">
        <v>58</v>
      </c>
      <c r="X91" s="4">
        <v>1717662512</v>
      </c>
      <c r="Y91" s="4" t="s">
        <v>71</v>
      </c>
      <c r="Z91" s="4" t="s">
        <v>55</v>
      </c>
      <c r="AA91" s="4" t="s">
        <v>60</v>
      </c>
      <c r="AB91" s="4" t="s">
        <v>61</v>
      </c>
      <c r="AC91" s="4">
        <v>443</v>
      </c>
      <c r="AD91" s="4" t="s">
        <v>62</v>
      </c>
      <c r="AE91" s="4" t="s">
        <v>55</v>
      </c>
      <c r="AF91" s="4" t="s">
        <v>55</v>
      </c>
      <c r="AG91" s="4" t="s">
        <v>205</v>
      </c>
      <c r="AH91" s="4">
        <v>840103</v>
      </c>
      <c r="AI91" s="4" t="s">
        <v>139</v>
      </c>
      <c r="AJ91" s="4" t="s">
        <v>55</v>
      </c>
      <c r="AK91" s="5">
        <v>45610</v>
      </c>
      <c r="AL91" s="6">
        <v>45611</v>
      </c>
      <c r="AM91" s="6">
        <v>46081</v>
      </c>
      <c r="AN91" s="4">
        <v>10</v>
      </c>
      <c r="AO91" s="6">
        <v>49260</v>
      </c>
      <c r="AP91" s="9">
        <v>78</v>
      </c>
      <c r="AQ91" s="9">
        <v>7.8</v>
      </c>
      <c r="AR91" s="9">
        <v>68.91</v>
      </c>
      <c r="AS91" s="9">
        <v>9.09</v>
      </c>
      <c r="AT91" s="4" t="s">
        <v>49</v>
      </c>
    </row>
    <row r="92" spans="1:46" ht="75" hidden="1" x14ac:dyDescent="0.25">
      <c r="A92" s="4">
        <v>39255046</v>
      </c>
      <c r="B92" s="4" t="str">
        <f>""</f>
        <v/>
      </c>
      <c r="C92" s="4" t="str">
        <f t="shared" si="12"/>
        <v>300100280002</v>
      </c>
      <c r="D92" s="4">
        <v>15</v>
      </c>
      <c r="E92" s="4" t="s">
        <v>132</v>
      </c>
      <c r="F92" s="4" t="s">
        <v>217</v>
      </c>
      <c r="G92" s="4" t="str">
        <f>"39255046"</f>
        <v>39255046</v>
      </c>
      <c r="H92" s="4" t="str">
        <f t="shared" si="13"/>
        <v>SILLA TIYAKUY</v>
      </c>
      <c r="I92" s="4" t="str">
        <f t="shared" si="9"/>
        <v>N/A</v>
      </c>
      <c r="J92" s="4" t="s">
        <v>49</v>
      </c>
      <c r="K92" s="4"/>
      <c r="L92" s="9">
        <v>78</v>
      </c>
      <c r="M92" s="4" t="s">
        <v>49</v>
      </c>
      <c r="N92" s="4" t="s">
        <v>113</v>
      </c>
      <c r="O92" s="4" t="s">
        <v>203</v>
      </c>
      <c r="P92" s="4" t="s">
        <v>204</v>
      </c>
      <c r="Q92" s="4" t="s">
        <v>54</v>
      </c>
      <c r="R92" s="4" t="s">
        <v>55</v>
      </c>
      <c r="S92" s="4" t="s">
        <v>56</v>
      </c>
      <c r="T92" s="4">
        <v>6</v>
      </c>
      <c r="U92" s="4" t="s">
        <v>57</v>
      </c>
      <c r="V92" s="4">
        <v>97459</v>
      </c>
      <c r="W92" s="4" t="s">
        <v>58</v>
      </c>
      <c r="X92" s="4">
        <v>1710914985</v>
      </c>
      <c r="Y92" s="4" t="s">
        <v>221</v>
      </c>
      <c r="Z92" s="4" t="s">
        <v>55</v>
      </c>
      <c r="AA92" s="4" t="s">
        <v>60</v>
      </c>
      <c r="AB92" s="4" t="s">
        <v>61</v>
      </c>
      <c r="AC92" s="4">
        <v>443</v>
      </c>
      <c r="AD92" s="4" t="s">
        <v>62</v>
      </c>
      <c r="AE92" s="4" t="s">
        <v>55</v>
      </c>
      <c r="AF92" s="4" t="s">
        <v>55</v>
      </c>
      <c r="AG92" s="4" t="s">
        <v>205</v>
      </c>
      <c r="AH92" s="4">
        <v>840103</v>
      </c>
      <c r="AI92" s="4" t="s">
        <v>139</v>
      </c>
      <c r="AJ92" s="4" t="s">
        <v>55</v>
      </c>
      <c r="AK92" s="5">
        <v>45610</v>
      </c>
      <c r="AL92" s="6">
        <v>45611</v>
      </c>
      <c r="AM92" s="6">
        <v>46081</v>
      </c>
      <c r="AN92" s="4">
        <v>10</v>
      </c>
      <c r="AO92" s="6">
        <v>49260</v>
      </c>
      <c r="AP92" s="9">
        <v>78</v>
      </c>
      <c r="AQ92" s="9">
        <v>7.8</v>
      </c>
      <c r="AR92" s="9">
        <v>68.91</v>
      </c>
      <c r="AS92" s="9">
        <v>9.09</v>
      </c>
      <c r="AT92" s="4" t="s">
        <v>49</v>
      </c>
    </row>
    <row r="93" spans="1:46" ht="75" hidden="1" x14ac:dyDescent="0.25">
      <c r="A93" s="4">
        <v>39255047</v>
      </c>
      <c r="B93" s="4" t="str">
        <f>""</f>
        <v/>
      </c>
      <c r="C93" s="4" t="str">
        <f t="shared" si="12"/>
        <v>300100280002</v>
      </c>
      <c r="D93" s="4">
        <v>15</v>
      </c>
      <c r="E93" s="4" t="s">
        <v>132</v>
      </c>
      <c r="F93" s="4" t="s">
        <v>217</v>
      </c>
      <c r="G93" s="4" t="str">
        <f>"39255047"</f>
        <v>39255047</v>
      </c>
      <c r="H93" s="4" t="str">
        <f t="shared" si="13"/>
        <v>SILLA TIYAKUY</v>
      </c>
      <c r="I93" s="4" t="str">
        <f t="shared" si="9"/>
        <v>N/A</v>
      </c>
      <c r="J93" s="4" t="s">
        <v>49</v>
      </c>
      <c r="K93" s="4"/>
      <c r="L93" s="9">
        <v>78</v>
      </c>
      <c r="M93" s="4" t="s">
        <v>49</v>
      </c>
      <c r="N93" s="4" t="s">
        <v>113</v>
      </c>
      <c r="O93" s="4" t="s">
        <v>203</v>
      </c>
      <c r="P93" s="4" t="s">
        <v>204</v>
      </c>
      <c r="Q93" s="4" t="s">
        <v>54</v>
      </c>
      <c r="R93" s="4" t="s">
        <v>55</v>
      </c>
      <c r="S93" s="4" t="s">
        <v>56</v>
      </c>
      <c r="T93" s="4">
        <v>6</v>
      </c>
      <c r="U93" s="4" t="s">
        <v>57</v>
      </c>
      <c r="V93" s="4">
        <v>97459</v>
      </c>
      <c r="W93" s="4" t="s">
        <v>58</v>
      </c>
      <c r="X93" s="4">
        <v>1717662512</v>
      </c>
      <c r="Y93" s="4" t="s">
        <v>71</v>
      </c>
      <c r="Z93" s="4" t="s">
        <v>55</v>
      </c>
      <c r="AA93" s="4" t="s">
        <v>60</v>
      </c>
      <c r="AB93" s="4" t="s">
        <v>61</v>
      </c>
      <c r="AC93" s="4">
        <v>443</v>
      </c>
      <c r="AD93" s="4" t="s">
        <v>62</v>
      </c>
      <c r="AE93" s="4" t="s">
        <v>55</v>
      </c>
      <c r="AF93" s="4" t="s">
        <v>55</v>
      </c>
      <c r="AG93" s="4" t="s">
        <v>205</v>
      </c>
      <c r="AH93" s="4">
        <v>840103</v>
      </c>
      <c r="AI93" s="4" t="s">
        <v>139</v>
      </c>
      <c r="AJ93" s="4" t="s">
        <v>55</v>
      </c>
      <c r="AK93" s="5">
        <v>45610</v>
      </c>
      <c r="AL93" s="6">
        <v>45611</v>
      </c>
      <c r="AM93" s="6">
        <v>46081</v>
      </c>
      <c r="AN93" s="4">
        <v>10</v>
      </c>
      <c r="AO93" s="6">
        <v>49260</v>
      </c>
      <c r="AP93" s="9">
        <v>78</v>
      </c>
      <c r="AQ93" s="9">
        <v>7.8</v>
      </c>
      <c r="AR93" s="9">
        <v>68.91</v>
      </c>
      <c r="AS93" s="9">
        <v>9.09</v>
      </c>
      <c r="AT93" s="4" t="s">
        <v>49</v>
      </c>
    </row>
    <row r="94" spans="1:46" ht="75" hidden="1" x14ac:dyDescent="0.25">
      <c r="A94" s="4">
        <v>39255048</v>
      </c>
      <c r="B94" s="4" t="str">
        <f>""</f>
        <v/>
      </c>
      <c r="C94" s="4" t="str">
        <f t="shared" si="12"/>
        <v>300100280002</v>
      </c>
      <c r="D94" s="4">
        <v>15</v>
      </c>
      <c r="E94" s="4" t="s">
        <v>132</v>
      </c>
      <c r="F94" s="4" t="s">
        <v>217</v>
      </c>
      <c r="G94" s="4" t="str">
        <f>"39255048"</f>
        <v>39255048</v>
      </c>
      <c r="H94" s="4" t="str">
        <f t="shared" si="13"/>
        <v>SILLA TIYAKUY</v>
      </c>
      <c r="I94" s="4" t="str">
        <f t="shared" si="9"/>
        <v>N/A</v>
      </c>
      <c r="J94" s="4" t="s">
        <v>49</v>
      </c>
      <c r="K94" s="4"/>
      <c r="L94" s="9">
        <v>78</v>
      </c>
      <c r="M94" s="4" t="s">
        <v>49</v>
      </c>
      <c r="N94" s="4" t="s">
        <v>113</v>
      </c>
      <c r="O94" s="4" t="s">
        <v>203</v>
      </c>
      <c r="P94" s="4" t="s">
        <v>204</v>
      </c>
      <c r="Q94" s="4" t="s">
        <v>54</v>
      </c>
      <c r="R94" s="4" t="s">
        <v>55</v>
      </c>
      <c r="S94" s="4" t="s">
        <v>56</v>
      </c>
      <c r="T94" s="4">
        <v>6</v>
      </c>
      <c r="U94" s="4" t="s">
        <v>57</v>
      </c>
      <c r="V94" s="4">
        <v>97459</v>
      </c>
      <c r="W94" s="4" t="s">
        <v>58</v>
      </c>
      <c r="X94" s="4">
        <v>1723600886</v>
      </c>
      <c r="Y94" s="4" t="s">
        <v>214</v>
      </c>
      <c r="Z94" s="4" t="s">
        <v>55</v>
      </c>
      <c r="AA94" s="4" t="s">
        <v>60</v>
      </c>
      <c r="AB94" s="4" t="s">
        <v>61</v>
      </c>
      <c r="AC94" s="4">
        <v>443</v>
      </c>
      <c r="AD94" s="4" t="s">
        <v>62</v>
      </c>
      <c r="AE94" s="4" t="s">
        <v>55</v>
      </c>
      <c r="AF94" s="4" t="s">
        <v>55</v>
      </c>
      <c r="AG94" s="4" t="s">
        <v>205</v>
      </c>
      <c r="AH94" s="4">
        <v>840103</v>
      </c>
      <c r="AI94" s="4" t="s">
        <v>139</v>
      </c>
      <c r="AJ94" s="4" t="s">
        <v>55</v>
      </c>
      <c r="AK94" s="5">
        <v>45610</v>
      </c>
      <c r="AL94" s="6">
        <v>45611</v>
      </c>
      <c r="AM94" s="6">
        <v>46081</v>
      </c>
      <c r="AN94" s="4">
        <v>10</v>
      </c>
      <c r="AO94" s="6">
        <v>49260</v>
      </c>
      <c r="AP94" s="9">
        <v>78</v>
      </c>
      <c r="AQ94" s="9">
        <v>7.8</v>
      </c>
      <c r="AR94" s="9">
        <v>68.91</v>
      </c>
      <c r="AS94" s="9">
        <v>9.09</v>
      </c>
      <c r="AT94" s="4" t="s">
        <v>49</v>
      </c>
    </row>
    <row r="95" spans="1:46" ht="75" hidden="1" x14ac:dyDescent="0.25">
      <c r="A95" s="4">
        <v>39255049</v>
      </c>
      <c r="B95" s="4" t="str">
        <f>""</f>
        <v/>
      </c>
      <c r="C95" s="4" t="str">
        <f t="shared" si="12"/>
        <v>300100280002</v>
      </c>
      <c r="D95" s="4">
        <v>15</v>
      </c>
      <c r="E95" s="4" t="s">
        <v>132</v>
      </c>
      <c r="F95" s="4" t="s">
        <v>217</v>
      </c>
      <c r="G95" s="4" t="str">
        <f>"39255049"</f>
        <v>39255049</v>
      </c>
      <c r="H95" s="4" t="str">
        <f t="shared" si="13"/>
        <v>SILLA TIYAKUY</v>
      </c>
      <c r="I95" s="4" t="str">
        <f t="shared" si="9"/>
        <v>N/A</v>
      </c>
      <c r="J95" s="4" t="s">
        <v>49</v>
      </c>
      <c r="K95" s="4"/>
      <c r="L95" s="9">
        <v>78</v>
      </c>
      <c r="M95" s="4" t="s">
        <v>49</v>
      </c>
      <c r="N95" s="4" t="s">
        <v>113</v>
      </c>
      <c r="O95" s="4" t="s">
        <v>203</v>
      </c>
      <c r="P95" s="4" t="s">
        <v>204</v>
      </c>
      <c r="Q95" s="4" t="s">
        <v>54</v>
      </c>
      <c r="R95" s="4" t="s">
        <v>55</v>
      </c>
      <c r="S95" s="4" t="s">
        <v>56</v>
      </c>
      <c r="T95" s="4">
        <v>6</v>
      </c>
      <c r="U95" s="4" t="s">
        <v>57</v>
      </c>
      <c r="V95" s="4">
        <v>97459</v>
      </c>
      <c r="W95" s="4" t="s">
        <v>58</v>
      </c>
      <c r="X95" s="4">
        <v>1714641105</v>
      </c>
      <c r="Y95" s="4" t="s">
        <v>89</v>
      </c>
      <c r="Z95" s="4" t="s">
        <v>55</v>
      </c>
      <c r="AA95" s="4" t="s">
        <v>60</v>
      </c>
      <c r="AB95" s="4" t="s">
        <v>61</v>
      </c>
      <c r="AC95" s="4">
        <v>443</v>
      </c>
      <c r="AD95" s="4" t="s">
        <v>62</v>
      </c>
      <c r="AE95" s="4" t="s">
        <v>55</v>
      </c>
      <c r="AF95" s="4" t="s">
        <v>55</v>
      </c>
      <c r="AG95" s="4" t="s">
        <v>205</v>
      </c>
      <c r="AH95" s="4">
        <v>840103</v>
      </c>
      <c r="AI95" s="4" t="s">
        <v>139</v>
      </c>
      <c r="AJ95" s="4" t="s">
        <v>55</v>
      </c>
      <c r="AK95" s="5">
        <v>45610</v>
      </c>
      <c r="AL95" s="6">
        <v>45611</v>
      </c>
      <c r="AM95" s="6">
        <v>46081</v>
      </c>
      <c r="AN95" s="4">
        <v>10</v>
      </c>
      <c r="AO95" s="6">
        <v>49260</v>
      </c>
      <c r="AP95" s="9">
        <v>78</v>
      </c>
      <c r="AQ95" s="9">
        <v>7.8</v>
      </c>
      <c r="AR95" s="9">
        <v>68.91</v>
      </c>
      <c r="AS95" s="9">
        <v>9.09</v>
      </c>
      <c r="AT95" s="4" t="s">
        <v>49</v>
      </c>
    </row>
    <row r="96" spans="1:46" ht="75" hidden="1" x14ac:dyDescent="0.25">
      <c r="A96" s="4">
        <v>39255050</v>
      </c>
      <c r="B96" s="4" t="str">
        <f>""</f>
        <v/>
      </c>
      <c r="C96" s="4" t="str">
        <f t="shared" si="12"/>
        <v>300100280002</v>
      </c>
      <c r="D96" s="4">
        <v>15</v>
      </c>
      <c r="E96" s="4" t="s">
        <v>132</v>
      </c>
      <c r="F96" s="4" t="s">
        <v>217</v>
      </c>
      <c r="G96" s="4" t="str">
        <f>"39255050"</f>
        <v>39255050</v>
      </c>
      <c r="H96" s="4" t="str">
        <f t="shared" si="13"/>
        <v>SILLA TIYAKUY</v>
      </c>
      <c r="I96" s="4" t="str">
        <f t="shared" si="9"/>
        <v>N/A</v>
      </c>
      <c r="J96" s="4" t="s">
        <v>49</v>
      </c>
      <c r="K96" s="4"/>
      <c r="L96" s="9">
        <v>78</v>
      </c>
      <c r="M96" s="4" t="s">
        <v>49</v>
      </c>
      <c r="N96" s="4" t="s">
        <v>113</v>
      </c>
      <c r="O96" s="4" t="s">
        <v>203</v>
      </c>
      <c r="P96" s="4" t="s">
        <v>204</v>
      </c>
      <c r="Q96" s="4" t="s">
        <v>54</v>
      </c>
      <c r="R96" s="4" t="s">
        <v>55</v>
      </c>
      <c r="S96" s="4" t="s">
        <v>56</v>
      </c>
      <c r="T96" s="4">
        <v>6</v>
      </c>
      <c r="U96" s="4" t="s">
        <v>57</v>
      </c>
      <c r="V96" s="4">
        <v>97459</v>
      </c>
      <c r="W96" s="4" t="s">
        <v>58</v>
      </c>
      <c r="X96" s="4">
        <v>1709459232</v>
      </c>
      <c r="Y96" s="4" t="s">
        <v>87</v>
      </c>
      <c r="Z96" s="4" t="s">
        <v>55</v>
      </c>
      <c r="AA96" s="4" t="s">
        <v>60</v>
      </c>
      <c r="AB96" s="4" t="s">
        <v>61</v>
      </c>
      <c r="AC96" s="4">
        <v>443</v>
      </c>
      <c r="AD96" s="4" t="s">
        <v>62</v>
      </c>
      <c r="AE96" s="4" t="s">
        <v>55</v>
      </c>
      <c r="AF96" s="4" t="s">
        <v>55</v>
      </c>
      <c r="AG96" s="4" t="s">
        <v>205</v>
      </c>
      <c r="AH96" s="4">
        <v>840103</v>
      </c>
      <c r="AI96" s="4" t="s">
        <v>139</v>
      </c>
      <c r="AJ96" s="4" t="s">
        <v>55</v>
      </c>
      <c r="AK96" s="5">
        <v>45610</v>
      </c>
      <c r="AL96" s="6">
        <v>45611</v>
      </c>
      <c r="AM96" s="6">
        <v>46081</v>
      </c>
      <c r="AN96" s="4">
        <v>10</v>
      </c>
      <c r="AO96" s="6">
        <v>49260</v>
      </c>
      <c r="AP96" s="9">
        <v>78</v>
      </c>
      <c r="AQ96" s="9">
        <v>7.8</v>
      </c>
      <c r="AR96" s="9">
        <v>68.91</v>
      </c>
      <c r="AS96" s="9">
        <v>9.09</v>
      </c>
      <c r="AT96" s="4" t="s">
        <v>49</v>
      </c>
    </row>
    <row r="97" spans="1:46" ht="75" hidden="1" x14ac:dyDescent="0.25">
      <c r="A97" s="4">
        <v>39255051</v>
      </c>
      <c r="B97" s="4" t="str">
        <f>""</f>
        <v/>
      </c>
      <c r="C97" s="4" t="str">
        <f t="shared" si="12"/>
        <v>300100280002</v>
      </c>
      <c r="D97" s="4">
        <v>15</v>
      </c>
      <c r="E97" s="4" t="s">
        <v>132</v>
      </c>
      <c r="F97" s="4" t="s">
        <v>217</v>
      </c>
      <c r="G97" s="4" t="str">
        <f>"39255051"</f>
        <v>39255051</v>
      </c>
      <c r="H97" s="4" t="str">
        <f t="shared" si="13"/>
        <v>SILLA TIYAKUY</v>
      </c>
      <c r="I97" s="4" t="str">
        <f t="shared" si="9"/>
        <v>N/A</v>
      </c>
      <c r="J97" s="4" t="s">
        <v>49</v>
      </c>
      <c r="K97" s="4"/>
      <c r="L97" s="9">
        <v>78</v>
      </c>
      <c r="M97" s="4" t="s">
        <v>49</v>
      </c>
      <c r="N97" s="4" t="s">
        <v>113</v>
      </c>
      <c r="O97" s="4" t="s">
        <v>203</v>
      </c>
      <c r="P97" s="4" t="s">
        <v>204</v>
      </c>
      <c r="Q97" s="4" t="s">
        <v>54</v>
      </c>
      <c r="R97" s="4" t="s">
        <v>55</v>
      </c>
      <c r="S97" s="4" t="s">
        <v>56</v>
      </c>
      <c r="T97" s="4">
        <v>6</v>
      </c>
      <c r="U97" s="4" t="s">
        <v>57</v>
      </c>
      <c r="V97" s="4">
        <v>97459</v>
      </c>
      <c r="W97" s="4" t="s">
        <v>58</v>
      </c>
      <c r="X97" s="4">
        <v>1726517327</v>
      </c>
      <c r="Y97" s="4" t="s">
        <v>152</v>
      </c>
      <c r="Z97" s="4" t="s">
        <v>55</v>
      </c>
      <c r="AA97" s="4" t="s">
        <v>60</v>
      </c>
      <c r="AB97" s="4" t="s">
        <v>61</v>
      </c>
      <c r="AC97" s="4">
        <v>443</v>
      </c>
      <c r="AD97" s="4" t="s">
        <v>62</v>
      </c>
      <c r="AE97" s="4" t="s">
        <v>55</v>
      </c>
      <c r="AF97" s="4" t="s">
        <v>55</v>
      </c>
      <c r="AG97" s="4" t="s">
        <v>205</v>
      </c>
      <c r="AH97" s="4">
        <v>840103</v>
      </c>
      <c r="AI97" s="4" t="s">
        <v>139</v>
      </c>
      <c r="AJ97" s="4" t="s">
        <v>55</v>
      </c>
      <c r="AK97" s="5">
        <v>45610</v>
      </c>
      <c r="AL97" s="6">
        <v>45611</v>
      </c>
      <c r="AM97" s="6">
        <v>46081</v>
      </c>
      <c r="AN97" s="4">
        <v>10</v>
      </c>
      <c r="AO97" s="6">
        <v>49260</v>
      </c>
      <c r="AP97" s="9">
        <v>78</v>
      </c>
      <c r="AQ97" s="9">
        <v>7.8</v>
      </c>
      <c r="AR97" s="9">
        <v>68.91</v>
      </c>
      <c r="AS97" s="9">
        <v>9.09</v>
      </c>
      <c r="AT97" s="4" t="s">
        <v>49</v>
      </c>
    </row>
    <row r="98" spans="1:46" ht="75" hidden="1" x14ac:dyDescent="0.25">
      <c r="A98" s="4">
        <v>39255052</v>
      </c>
      <c r="B98" s="4" t="str">
        <f>""</f>
        <v/>
      </c>
      <c r="C98" s="4" t="str">
        <f t="shared" si="12"/>
        <v>300100280002</v>
      </c>
      <c r="D98" s="4">
        <v>15</v>
      </c>
      <c r="E98" s="4" t="s">
        <v>132</v>
      </c>
      <c r="F98" s="4" t="s">
        <v>217</v>
      </c>
      <c r="G98" s="4" t="str">
        <f>"39255052"</f>
        <v>39255052</v>
      </c>
      <c r="H98" s="4" t="str">
        <f t="shared" si="13"/>
        <v>SILLA TIYAKUY</v>
      </c>
      <c r="I98" s="4" t="str">
        <f t="shared" si="9"/>
        <v>N/A</v>
      </c>
      <c r="J98" s="4" t="s">
        <v>49</v>
      </c>
      <c r="K98" s="4"/>
      <c r="L98" s="9">
        <v>78</v>
      </c>
      <c r="M98" s="4" t="s">
        <v>49</v>
      </c>
      <c r="N98" s="4" t="s">
        <v>113</v>
      </c>
      <c r="O98" s="4" t="s">
        <v>203</v>
      </c>
      <c r="P98" s="4" t="s">
        <v>204</v>
      </c>
      <c r="Q98" s="4" t="s">
        <v>54</v>
      </c>
      <c r="R98" s="4" t="s">
        <v>55</v>
      </c>
      <c r="S98" s="4" t="s">
        <v>56</v>
      </c>
      <c r="T98" s="4">
        <v>6</v>
      </c>
      <c r="U98" s="4" t="s">
        <v>57</v>
      </c>
      <c r="V98" s="4">
        <v>97459</v>
      </c>
      <c r="W98" s="4" t="s">
        <v>58</v>
      </c>
      <c r="X98" s="4">
        <v>1725514309</v>
      </c>
      <c r="Y98" s="4" t="s">
        <v>197</v>
      </c>
      <c r="Z98" s="4" t="s">
        <v>55</v>
      </c>
      <c r="AA98" s="4" t="s">
        <v>60</v>
      </c>
      <c r="AB98" s="4" t="s">
        <v>61</v>
      </c>
      <c r="AC98" s="4">
        <v>443</v>
      </c>
      <c r="AD98" s="4" t="s">
        <v>62</v>
      </c>
      <c r="AE98" s="4" t="s">
        <v>55</v>
      </c>
      <c r="AF98" s="4" t="s">
        <v>55</v>
      </c>
      <c r="AG98" s="4" t="s">
        <v>205</v>
      </c>
      <c r="AH98" s="4">
        <v>840103</v>
      </c>
      <c r="AI98" s="4" t="s">
        <v>139</v>
      </c>
      <c r="AJ98" s="4" t="s">
        <v>55</v>
      </c>
      <c r="AK98" s="5">
        <v>45610</v>
      </c>
      <c r="AL98" s="6">
        <v>45611</v>
      </c>
      <c r="AM98" s="6">
        <v>46081</v>
      </c>
      <c r="AN98" s="4">
        <v>10</v>
      </c>
      <c r="AO98" s="6">
        <v>49260</v>
      </c>
      <c r="AP98" s="9">
        <v>78</v>
      </c>
      <c r="AQ98" s="9">
        <v>7.8</v>
      </c>
      <c r="AR98" s="9">
        <v>68.91</v>
      </c>
      <c r="AS98" s="9">
        <v>9.09</v>
      </c>
      <c r="AT98" s="4" t="s">
        <v>49</v>
      </c>
    </row>
    <row r="99" spans="1:46" ht="75" hidden="1" x14ac:dyDescent="0.25">
      <c r="A99" s="4">
        <v>39255053</v>
      </c>
      <c r="B99" s="4" t="str">
        <f>""</f>
        <v/>
      </c>
      <c r="C99" s="4" t="str">
        <f t="shared" si="12"/>
        <v>300100280002</v>
      </c>
      <c r="D99" s="4">
        <v>15</v>
      </c>
      <c r="E99" s="4" t="s">
        <v>132</v>
      </c>
      <c r="F99" s="4" t="s">
        <v>217</v>
      </c>
      <c r="G99" s="4" t="str">
        <f>"39255053"</f>
        <v>39255053</v>
      </c>
      <c r="H99" s="4" t="str">
        <f t="shared" si="13"/>
        <v>SILLA TIYAKUY</v>
      </c>
      <c r="I99" s="4" t="str">
        <f t="shared" si="9"/>
        <v>N/A</v>
      </c>
      <c r="J99" s="4" t="s">
        <v>49</v>
      </c>
      <c r="K99" s="4"/>
      <c r="L99" s="9">
        <v>78</v>
      </c>
      <c r="M99" s="4" t="s">
        <v>49</v>
      </c>
      <c r="N99" s="4" t="s">
        <v>113</v>
      </c>
      <c r="O99" s="4" t="s">
        <v>203</v>
      </c>
      <c r="P99" s="4" t="s">
        <v>204</v>
      </c>
      <c r="Q99" s="4" t="s">
        <v>54</v>
      </c>
      <c r="R99" s="4" t="s">
        <v>55</v>
      </c>
      <c r="S99" s="4" t="s">
        <v>56</v>
      </c>
      <c r="T99" s="4">
        <v>6</v>
      </c>
      <c r="U99" s="4" t="s">
        <v>57</v>
      </c>
      <c r="V99" s="4">
        <v>97459</v>
      </c>
      <c r="W99" s="4" t="s">
        <v>58</v>
      </c>
      <c r="X99" s="4">
        <v>1722641816</v>
      </c>
      <c r="Y99" s="4" t="s">
        <v>222</v>
      </c>
      <c r="Z99" s="4" t="s">
        <v>55</v>
      </c>
      <c r="AA99" s="4" t="s">
        <v>60</v>
      </c>
      <c r="AB99" s="4" t="s">
        <v>61</v>
      </c>
      <c r="AC99" s="4">
        <v>443</v>
      </c>
      <c r="AD99" s="4" t="s">
        <v>62</v>
      </c>
      <c r="AE99" s="4" t="s">
        <v>55</v>
      </c>
      <c r="AF99" s="4" t="s">
        <v>55</v>
      </c>
      <c r="AG99" s="4" t="s">
        <v>205</v>
      </c>
      <c r="AH99" s="4">
        <v>840103</v>
      </c>
      <c r="AI99" s="4" t="s">
        <v>139</v>
      </c>
      <c r="AJ99" s="4" t="s">
        <v>55</v>
      </c>
      <c r="AK99" s="5">
        <v>45610</v>
      </c>
      <c r="AL99" s="6">
        <v>45611</v>
      </c>
      <c r="AM99" s="6">
        <v>46081</v>
      </c>
      <c r="AN99" s="4">
        <v>10</v>
      </c>
      <c r="AO99" s="6">
        <v>49260</v>
      </c>
      <c r="AP99" s="9">
        <v>78</v>
      </c>
      <c r="AQ99" s="9">
        <v>7.8</v>
      </c>
      <c r="AR99" s="9">
        <v>68.91</v>
      </c>
      <c r="AS99" s="9">
        <v>9.09</v>
      </c>
      <c r="AT99" s="4" t="s">
        <v>49</v>
      </c>
    </row>
    <row r="100" spans="1:46" ht="75" hidden="1" x14ac:dyDescent="0.25">
      <c r="A100" s="4">
        <v>39255054</v>
      </c>
      <c r="B100" s="4" t="str">
        <f>""</f>
        <v/>
      </c>
      <c r="C100" s="4" t="str">
        <f t="shared" si="12"/>
        <v>300100280002</v>
      </c>
      <c r="D100" s="4">
        <v>15</v>
      </c>
      <c r="E100" s="4" t="s">
        <v>132</v>
      </c>
      <c r="F100" s="4" t="s">
        <v>217</v>
      </c>
      <c r="G100" s="4" t="str">
        <f>"39255054"</f>
        <v>39255054</v>
      </c>
      <c r="H100" s="4" t="str">
        <f t="shared" si="13"/>
        <v>SILLA TIYAKUY</v>
      </c>
      <c r="I100" s="4" t="str">
        <f t="shared" si="9"/>
        <v>N/A</v>
      </c>
      <c r="J100" s="4" t="s">
        <v>49</v>
      </c>
      <c r="K100" s="4"/>
      <c r="L100" s="9">
        <v>78</v>
      </c>
      <c r="M100" s="4" t="s">
        <v>49</v>
      </c>
      <c r="N100" s="4" t="s">
        <v>113</v>
      </c>
      <c r="O100" s="4" t="s">
        <v>203</v>
      </c>
      <c r="P100" s="4" t="s">
        <v>204</v>
      </c>
      <c r="Q100" s="4" t="s">
        <v>54</v>
      </c>
      <c r="R100" s="4" t="s">
        <v>55</v>
      </c>
      <c r="S100" s="4" t="s">
        <v>56</v>
      </c>
      <c r="T100" s="4">
        <v>6</v>
      </c>
      <c r="U100" s="4" t="s">
        <v>57</v>
      </c>
      <c r="V100" s="4">
        <v>97459</v>
      </c>
      <c r="W100" s="4" t="s">
        <v>58</v>
      </c>
      <c r="X100" s="4">
        <v>1719443135</v>
      </c>
      <c r="Y100" s="4" t="s">
        <v>109</v>
      </c>
      <c r="Z100" s="4" t="s">
        <v>55</v>
      </c>
      <c r="AA100" s="4" t="s">
        <v>60</v>
      </c>
      <c r="AB100" s="4" t="s">
        <v>61</v>
      </c>
      <c r="AC100" s="4">
        <v>443</v>
      </c>
      <c r="AD100" s="4" t="s">
        <v>62</v>
      </c>
      <c r="AE100" s="4" t="s">
        <v>55</v>
      </c>
      <c r="AF100" s="4" t="s">
        <v>55</v>
      </c>
      <c r="AG100" s="4" t="s">
        <v>205</v>
      </c>
      <c r="AH100" s="4">
        <v>840103</v>
      </c>
      <c r="AI100" s="4" t="s">
        <v>139</v>
      </c>
      <c r="AJ100" s="4" t="s">
        <v>55</v>
      </c>
      <c r="AK100" s="5">
        <v>45610</v>
      </c>
      <c r="AL100" s="6">
        <v>45611</v>
      </c>
      <c r="AM100" s="6">
        <v>46081</v>
      </c>
      <c r="AN100" s="4">
        <v>10</v>
      </c>
      <c r="AO100" s="6">
        <v>49260</v>
      </c>
      <c r="AP100" s="9">
        <v>78</v>
      </c>
      <c r="AQ100" s="9">
        <v>7.8</v>
      </c>
      <c r="AR100" s="9">
        <v>68.91</v>
      </c>
      <c r="AS100" s="9">
        <v>9.09</v>
      </c>
      <c r="AT100" s="4" t="s">
        <v>49</v>
      </c>
    </row>
    <row r="101" spans="1:46" ht="75" hidden="1" x14ac:dyDescent="0.25">
      <c r="A101" s="4">
        <v>39255055</v>
      </c>
      <c r="B101" s="4" t="str">
        <f>""</f>
        <v/>
      </c>
      <c r="C101" s="4" t="str">
        <f t="shared" si="12"/>
        <v>300100280002</v>
      </c>
      <c r="D101" s="4">
        <v>15</v>
      </c>
      <c r="E101" s="4" t="s">
        <v>132</v>
      </c>
      <c r="F101" s="4" t="s">
        <v>217</v>
      </c>
      <c r="G101" s="4" t="str">
        <f>"39255055"</f>
        <v>39255055</v>
      </c>
      <c r="H101" s="4" t="str">
        <f t="shared" si="13"/>
        <v>SILLA TIYAKUY</v>
      </c>
      <c r="I101" s="4" t="str">
        <f t="shared" si="9"/>
        <v>N/A</v>
      </c>
      <c r="J101" s="4" t="s">
        <v>49</v>
      </c>
      <c r="K101" s="4"/>
      <c r="L101" s="9">
        <v>78</v>
      </c>
      <c r="M101" s="4" t="s">
        <v>49</v>
      </c>
      <c r="N101" s="4" t="s">
        <v>113</v>
      </c>
      <c r="O101" s="4" t="s">
        <v>203</v>
      </c>
      <c r="P101" s="4" t="s">
        <v>204</v>
      </c>
      <c r="Q101" s="4" t="s">
        <v>54</v>
      </c>
      <c r="R101" s="4" t="s">
        <v>55</v>
      </c>
      <c r="S101" s="4" t="s">
        <v>56</v>
      </c>
      <c r="T101" s="4">
        <v>6</v>
      </c>
      <c r="U101" s="4" t="s">
        <v>57</v>
      </c>
      <c r="V101" s="4">
        <v>97459</v>
      </c>
      <c r="W101" s="4" t="s">
        <v>58</v>
      </c>
      <c r="X101" s="4">
        <v>1717662512</v>
      </c>
      <c r="Y101" s="4" t="s">
        <v>71</v>
      </c>
      <c r="Z101" s="4" t="s">
        <v>55</v>
      </c>
      <c r="AA101" s="4" t="s">
        <v>60</v>
      </c>
      <c r="AB101" s="4" t="s">
        <v>61</v>
      </c>
      <c r="AC101" s="4">
        <v>443</v>
      </c>
      <c r="AD101" s="4" t="s">
        <v>62</v>
      </c>
      <c r="AE101" s="4" t="s">
        <v>55</v>
      </c>
      <c r="AF101" s="4" t="s">
        <v>55</v>
      </c>
      <c r="AG101" s="4" t="s">
        <v>205</v>
      </c>
      <c r="AH101" s="4">
        <v>840103</v>
      </c>
      <c r="AI101" s="4" t="s">
        <v>139</v>
      </c>
      <c r="AJ101" s="4" t="s">
        <v>55</v>
      </c>
      <c r="AK101" s="5">
        <v>45610</v>
      </c>
      <c r="AL101" s="6">
        <v>45610</v>
      </c>
      <c r="AM101" s="6">
        <v>46081</v>
      </c>
      <c r="AN101" s="4">
        <v>10</v>
      </c>
      <c r="AO101" s="6">
        <v>49259</v>
      </c>
      <c r="AP101" s="9">
        <v>78</v>
      </c>
      <c r="AQ101" s="9">
        <v>7.8</v>
      </c>
      <c r="AR101" s="9">
        <v>68.89</v>
      </c>
      <c r="AS101" s="9">
        <v>9.11</v>
      </c>
      <c r="AT101" s="4" t="s">
        <v>49</v>
      </c>
    </row>
    <row r="102" spans="1:46" ht="75" hidden="1" x14ac:dyDescent="0.25">
      <c r="A102" s="4">
        <v>39255056</v>
      </c>
      <c r="B102" s="4" t="str">
        <f>""</f>
        <v/>
      </c>
      <c r="C102" s="4" t="str">
        <f t="shared" si="12"/>
        <v>300100280002</v>
      </c>
      <c r="D102" s="4">
        <v>15</v>
      </c>
      <c r="E102" s="4" t="s">
        <v>132</v>
      </c>
      <c r="F102" s="4" t="s">
        <v>217</v>
      </c>
      <c r="G102" s="4" t="str">
        <f>"39255056"</f>
        <v>39255056</v>
      </c>
      <c r="H102" s="4" t="str">
        <f t="shared" si="13"/>
        <v>SILLA TIYAKUY</v>
      </c>
      <c r="I102" s="4" t="str">
        <f t="shared" si="9"/>
        <v>N/A</v>
      </c>
      <c r="J102" s="4" t="s">
        <v>49</v>
      </c>
      <c r="K102" s="4"/>
      <c r="L102" s="9">
        <v>78</v>
      </c>
      <c r="M102" s="4" t="s">
        <v>49</v>
      </c>
      <c r="N102" s="4" t="s">
        <v>113</v>
      </c>
      <c r="O102" s="4" t="s">
        <v>203</v>
      </c>
      <c r="P102" s="4" t="s">
        <v>204</v>
      </c>
      <c r="Q102" s="4" t="s">
        <v>54</v>
      </c>
      <c r="R102" s="4" t="s">
        <v>55</v>
      </c>
      <c r="S102" s="4" t="s">
        <v>56</v>
      </c>
      <c r="T102" s="4">
        <v>6</v>
      </c>
      <c r="U102" s="4" t="s">
        <v>57</v>
      </c>
      <c r="V102" s="4">
        <v>97459</v>
      </c>
      <c r="W102" s="4" t="s">
        <v>58</v>
      </c>
      <c r="X102" s="4">
        <v>1716349814</v>
      </c>
      <c r="Y102" s="4" t="s">
        <v>86</v>
      </c>
      <c r="Z102" s="4" t="s">
        <v>55</v>
      </c>
      <c r="AA102" s="4" t="s">
        <v>60</v>
      </c>
      <c r="AB102" s="4" t="s">
        <v>61</v>
      </c>
      <c r="AC102" s="4">
        <v>443</v>
      </c>
      <c r="AD102" s="4" t="s">
        <v>62</v>
      </c>
      <c r="AE102" s="4" t="s">
        <v>55</v>
      </c>
      <c r="AF102" s="4" t="s">
        <v>55</v>
      </c>
      <c r="AG102" s="4" t="s">
        <v>205</v>
      </c>
      <c r="AH102" s="4">
        <v>840103</v>
      </c>
      <c r="AI102" s="4" t="s">
        <v>139</v>
      </c>
      <c r="AJ102" s="4" t="s">
        <v>55</v>
      </c>
      <c r="AK102" s="5">
        <v>45610</v>
      </c>
      <c r="AL102" s="6">
        <v>45611</v>
      </c>
      <c r="AM102" s="6">
        <v>46081</v>
      </c>
      <c r="AN102" s="4">
        <v>10</v>
      </c>
      <c r="AO102" s="6">
        <v>49260</v>
      </c>
      <c r="AP102" s="9">
        <v>78</v>
      </c>
      <c r="AQ102" s="9">
        <v>7.8</v>
      </c>
      <c r="AR102" s="9">
        <v>68.91</v>
      </c>
      <c r="AS102" s="9">
        <v>9.09</v>
      </c>
      <c r="AT102" s="4" t="s">
        <v>49</v>
      </c>
    </row>
    <row r="103" spans="1:46" ht="75" hidden="1" x14ac:dyDescent="0.25">
      <c r="A103" s="4">
        <v>39255057</v>
      </c>
      <c r="B103" s="4" t="str">
        <f>""</f>
        <v/>
      </c>
      <c r="C103" s="4" t="str">
        <f t="shared" si="12"/>
        <v>300100280002</v>
      </c>
      <c r="D103" s="4">
        <v>15</v>
      </c>
      <c r="E103" s="4" t="s">
        <v>132</v>
      </c>
      <c r="F103" s="4" t="s">
        <v>217</v>
      </c>
      <c r="G103" s="4" t="str">
        <f>"39255057"</f>
        <v>39255057</v>
      </c>
      <c r="H103" s="4" t="str">
        <f t="shared" si="13"/>
        <v>SILLA TIYAKUY</v>
      </c>
      <c r="I103" s="4" t="str">
        <f t="shared" si="9"/>
        <v>N/A</v>
      </c>
      <c r="J103" s="4" t="s">
        <v>49</v>
      </c>
      <c r="K103" s="4"/>
      <c r="L103" s="9">
        <v>78</v>
      </c>
      <c r="M103" s="4" t="s">
        <v>49</v>
      </c>
      <c r="N103" s="4" t="s">
        <v>113</v>
      </c>
      <c r="O103" s="4" t="s">
        <v>203</v>
      </c>
      <c r="P103" s="4" t="s">
        <v>204</v>
      </c>
      <c r="Q103" s="4" t="s">
        <v>54</v>
      </c>
      <c r="R103" s="4" t="s">
        <v>55</v>
      </c>
      <c r="S103" s="4" t="s">
        <v>56</v>
      </c>
      <c r="T103" s="4">
        <v>6</v>
      </c>
      <c r="U103" s="4" t="s">
        <v>57</v>
      </c>
      <c r="V103" s="4">
        <v>97459</v>
      </c>
      <c r="W103" s="4" t="s">
        <v>58</v>
      </c>
      <c r="X103" s="4">
        <v>401265012</v>
      </c>
      <c r="Y103" s="4" t="s">
        <v>130</v>
      </c>
      <c r="Z103" s="4" t="s">
        <v>55</v>
      </c>
      <c r="AA103" s="4" t="s">
        <v>60</v>
      </c>
      <c r="AB103" s="4" t="s">
        <v>61</v>
      </c>
      <c r="AC103" s="4">
        <v>443</v>
      </c>
      <c r="AD103" s="4" t="s">
        <v>62</v>
      </c>
      <c r="AE103" s="4" t="s">
        <v>55</v>
      </c>
      <c r="AF103" s="4" t="s">
        <v>55</v>
      </c>
      <c r="AG103" s="4" t="s">
        <v>205</v>
      </c>
      <c r="AH103" s="4">
        <v>840103</v>
      </c>
      <c r="AI103" s="4" t="s">
        <v>139</v>
      </c>
      <c r="AJ103" s="4" t="s">
        <v>55</v>
      </c>
      <c r="AK103" s="5">
        <v>45610</v>
      </c>
      <c r="AL103" s="6">
        <v>45611</v>
      </c>
      <c r="AM103" s="6">
        <v>46081</v>
      </c>
      <c r="AN103" s="4">
        <v>10</v>
      </c>
      <c r="AO103" s="6">
        <v>49260</v>
      </c>
      <c r="AP103" s="9">
        <v>78</v>
      </c>
      <c r="AQ103" s="9">
        <v>7.8</v>
      </c>
      <c r="AR103" s="9">
        <v>68.91</v>
      </c>
      <c r="AS103" s="9">
        <v>9.09</v>
      </c>
      <c r="AT103" s="4" t="s">
        <v>49</v>
      </c>
    </row>
    <row r="104" spans="1:46" ht="75" hidden="1" x14ac:dyDescent="0.25">
      <c r="A104" s="4">
        <v>39255058</v>
      </c>
      <c r="B104" s="4" t="str">
        <f>""</f>
        <v/>
      </c>
      <c r="C104" s="4" t="str">
        <f t="shared" si="12"/>
        <v>300100280002</v>
      </c>
      <c r="D104" s="4">
        <v>15</v>
      </c>
      <c r="E104" s="4" t="s">
        <v>132</v>
      </c>
      <c r="F104" s="4" t="s">
        <v>217</v>
      </c>
      <c r="G104" s="4" t="str">
        <f>"39255058"</f>
        <v>39255058</v>
      </c>
      <c r="H104" s="4" t="str">
        <f t="shared" si="13"/>
        <v>SILLA TIYAKUY</v>
      </c>
      <c r="I104" s="4" t="str">
        <f t="shared" si="9"/>
        <v>N/A</v>
      </c>
      <c r="J104" s="4" t="s">
        <v>49</v>
      </c>
      <c r="K104" s="4"/>
      <c r="L104" s="9">
        <v>78</v>
      </c>
      <c r="M104" s="4" t="s">
        <v>49</v>
      </c>
      <c r="N104" s="4" t="s">
        <v>174</v>
      </c>
      <c r="O104" s="4" t="s">
        <v>203</v>
      </c>
      <c r="P104" s="4" t="s">
        <v>204</v>
      </c>
      <c r="Q104" s="4" t="s">
        <v>54</v>
      </c>
      <c r="R104" s="4" t="s">
        <v>55</v>
      </c>
      <c r="S104" s="4" t="s">
        <v>56</v>
      </c>
      <c r="T104" s="4">
        <v>6</v>
      </c>
      <c r="U104" s="4" t="s">
        <v>57</v>
      </c>
      <c r="V104" s="4">
        <v>97459</v>
      </c>
      <c r="W104" s="4" t="s">
        <v>58</v>
      </c>
      <c r="X104" s="4">
        <v>1003429584</v>
      </c>
      <c r="Y104" s="4" t="s">
        <v>95</v>
      </c>
      <c r="Z104" s="4" t="s">
        <v>55</v>
      </c>
      <c r="AA104" s="4" t="s">
        <v>60</v>
      </c>
      <c r="AB104" s="4" t="s">
        <v>61</v>
      </c>
      <c r="AC104" s="4">
        <v>443</v>
      </c>
      <c r="AD104" s="4" t="s">
        <v>62</v>
      </c>
      <c r="AE104" s="4" t="s">
        <v>55</v>
      </c>
      <c r="AF104" s="4" t="s">
        <v>55</v>
      </c>
      <c r="AG104" s="4" t="s">
        <v>205</v>
      </c>
      <c r="AH104" s="4">
        <v>840103</v>
      </c>
      <c r="AI104" s="4" t="s">
        <v>139</v>
      </c>
      <c r="AJ104" s="4" t="s">
        <v>55</v>
      </c>
      <c r="AK104" s="5">
        <v>45610</v>
      </c>
      <c r="AL104" s="6">
        <v>45611</v>
      </c>
      <c r="AM104" s="6">
        <v>46081</v>
      </c>
      <c r="AN104" s="4">
        <v>10</v>
      </c>
      <c r="AO104" s="6">
        <v>49260</v>
      </c>
      <c r="AP104" s="9">
        <v>78</v>
      </c>
      <c r="AQ104" s="9">
        <v>7.8</v>
      </c>
      <c r="AR104" s="9">
        <v>68.91</v>
      </c>
      <c r="AS104" s="9">
        <v>9.09</v>
      </c>
      <c r="AT104" s="4" t="s">
        <v>49</v>
      </c>
    </row>
    <row r="105" spans="1:46" ht="45" hidden="1" x14ac:dyDescent="0.25">
      <c r="A105" s="4">
        <v>39392197</v>
      </c>
      <c r="B105" s="4" t="str">
        <f>""</f>
        <v/>
      </c>
      <c r="C105" s="4" t="str">
        <f>"300100150003"</f>
        <v>300100150003</v>
      </c>
      <c r="D105" s="4">
        <v>21</v>
      </c>
      <c r="E105" s="4" t="s">
        <v>132</v>
      </c>
      <c r="F105" s="4" t="s">
        <v>225</v>
      </c>
      <c r="G105" s="4" t="str">
        <f>"39392197"</f>
        <v>39392197</v>
      </c>
      <c r="H105" s="4" t="str">
        <f>""</f>
        <v/>
      </c>
      <c r="I105" s="4" t="str">
        <f>""</f>
        <v/>
      </c>
      <c r="J105" s="4"/>
      <c r="K105" s="4"/>
      <c r="L105" s="9">
        <v>103.52</v>
      </c>
      <c r="M105" s="4"/>
      <c r="N105" s="4" t="s">
        <v>113</v>
      </c>
      <c r="O105" s="4" t="s">
        <v>69</v>
      </c>
      <c r="P105" s="4" t="s">
        <v>227</v>
      </c>
      <c r="Q105" s="4" t="s">
        <v>54</v>
      </c>
      <c r="R105" s="4" t="s">
        <v>55</v>
      </c>
      <c r="S105" s="4" t="s">
        <v>56</v>
      </c>
      <c r="T105" s="4">
        <v>6</v>
      </c>
      <c r="U105" s="4" t="s">
        <v>57</v>
      </c>
      <c r="V105" s="4">
        <v>97459</v>
      </c>
      <c r="W105" s="4" t="s">
        <v>58</v>
      </c>
      <c r="X105" s="4">
        <v>1709459232</v>
      </c>
      <c r="Y105" s="4" t="s">
        <v>87</v>
      </c>
      <c r="Z105" s="4" t="s">
        <v>55</v>
      </c>
      <c r="AA105" s="4" t="s">
        <v>60</v>
      </c>
      <c r="AB105" s="4" t="s">
        <v>61</v>
      </c>
      <c r="AC105" s="4">
        <v>441</v>
      </c>
      <c r="AD105" s="4" t="s">
        <v>62</v>
      </c>
      <c r="AE105" s="4" t="s">
        <v>55</v>
      </c>
      <c r="AF105" s="4" t="s">
        <v>55</v>
      </c>
      <c r="AG105" s="4" t="s">
        <v>228</v>
      </c>
      <c r="AH105" s="4">
        <v>840103</v>
      </c>
      <c r="AI105" s="4" t="s">
        <v>139</v>
      </c>
      <c r="AJ105" s="4" t="s">
        <v>55</v>
      </c>
      <c r="AK105" s="5">
        <v>45630</v>
      </c>
      <c r="AL105" s="6">
        <v>45630</v>
      </c>
      <c r="AM105" s="6">
        <v>46081</v>
      </c>
      <c r="AN105" s="4">
        <v>10</v>
      </c>
      <c r="AO105" s="6">
        <v>49279</v>
      </c>
      <c r="AP105" s="9">
        <v>103.52</v>
      </c>
      <c r="AQ105" s="9">
        <v>10.35</v>
      </c>
      <c r="AR105" s="9">
        <v>91.98</v>
      </c>
      <c r="AS105" s="9">
        <v>11.54</v>
      </c>
      <c r="AT105" s="4" t="s">
        <v>49</v>
      </c>
    </row>
    <row r="106" spans="1:46" ht="45" hidden="1" x14ac:dyDescent="0.25">
      <c r="A106" s="4">
        <v>39392198</v>
      </c>
      <c r="B106" s="4" t="str">
        <f>""</f>
        <v/>
      </c>
      <c r="C106" s="4" t="str">
        <f>"300100150003"</f>
        <v>300100150003</v>
      </c>
      <c r="D106" s="4">
        <v>21</v>
      </c>
      <c r="E106" s="4" t="s">
        <v>132</v>
      </c>
      <c r="F106" s="4" t="s">
        <v>225</v>
      </c>
      <c r="G106" s="4" t="str">
        <f>"39392198"</f>
        <v>39392198</v>
      </c>
      <c r="H106" s="4" t="str">
        <f>""</f>
        <v/>
      </c>
      <c r="I106" s="4" t="str">
        <f>""</f>
        <v/>
      </c>
      <c r="J106" s="4"/>
      <c r="K106" s="4"/>
      <c r="L106" s="9">
        <v>103.52</v>
      </c>
      <c r="M106" s="4"/>
      <c r="N106" s="4" t="s">
        <v>113</v>
      </c>
      <c r="O106" s="4" t="s">
        <v>69</v>
      </c>
      <c r="P106" s="4" t="s">
        <v>227</v>
      </c>
      <c r="Q106" s="4" t="s">
        <v>54</v>
      </c>
      <c r="R106" s="4" t="s">
        <v>55</v>
      </c>
      <c r="S106" s="4" t="s">
        <v>56</v>
      </c>
      <c r="T106" s="4">
        <v>6</v>
      </c>
      <c r="U106" s="4" t="s">
        <v>57</v>
      </c>
      <c r="V106" s="4">
        <v>97459</v>
      </c>
      <c r="W106" s="4" t="s">
        <v>58</v>
      </c>
      <c r="X106" s="4">
        <v>1709459232</v>
      </c>
      <c r="Y106" s="4" t="s">
        <v>87</v>
      </c>
      <c r="Z106" s="4" t="s">
        <v>55</v>
      </c>
      <c r="AA106" s="4" t="s">
        <v>60</v>
      </c>
      <c r="AB106" s="4" t="s">
        <v>61</v>
      </c>
      <c r="AC106" s="4">
        <v>441</v>
      </c>
      <c r="AD106" s="4" t="s">
        <v>62</v>
      </c>
      <c r="AE106" s="4" t="s">
        <v>55</v>
      </c>
      <c r="AF106" s="4" t="s">
        <v>55</v>
      </c>
      <c r="AG106" s="4" t="s">
        <v>228</v>
      </c>
      <c r="AH106" s="4">
        <v>840103</v>
      </c>
      <c r="AI106" s="4" t="s">
        <v>139</v>
      </c>
      <c r="AJ106" s="4" t="s">
        <v>55</v>
      </c>
      <c r="AK106" s="5">
        <v>45630</v>
      </c>
      <c r="AL106" s="6">
        <v>45630</v>
      </c>
      <c r="AM106" s="6">
        <v>46081</v>
      </c>
      <c r="AN106" s="4">
        <v>10</v>
      </c>
      <c r="AO106" s="6">
        <v>49279</v>
      </c>
      <c r="AP106" s="9">
        <v>103.52</v>
      </c>
      <c r="AQ106" s="9">
        <v>10.35</v>
      </c>
      <c r="AR106" s="9">
        <v>91.98</v>
      </c>
      <c r="AS106" s="9">
        <v>11.54</v>
      </c>
      <c r="AT106" s="4" t="s">
        <v>49</v>
      </c>
    </row>
    <row r="107" spans="1:46" ht="45" hidden="1" x14ac:dyDescent="0.25">
      <c r="A107" s="4">
        <v>39392199</v>
      </c>
      <c r="B107" s="4" t="str">
        <f>""</f>
        <v/>
      </c>
      <c r="C107" s="4" t="str">
        <f>"300100150003"</f>
        <v>300100150003</v>
      </c>
      <c r="D107" s="4">
        <v>21</v>
      </c>
      <c r="E107" s="4" t="s">
        <v>132</v>
      </c>
      <c r="F107" s="4" t="s">
        <v>225</v>
      </c>
      <c r="G107" s="4" t="str">
        <f>"39392199"</f>
        <v>39392199</v>
      </c>
      <c r="H107" s="4" t="str">
        <f>""</f>
        <v/>
      </c>
      <c r="I107" s="4" t="str">
        <f>""</f>
        <v/>
      </c>
      <c r="J107" s="4"/>
      <c r="K107" s="4"/>
      <c r="L107" s="9">
        <v>103.52</v>
      </c>
      <c r="M107" s="4"/>
      <c r="N107" s="4" t="s">
        <v>113</v>
      </c>
      <c r="O107" s="4" t="s">
        <v>69</v>
      </c>
      <c r="P107" s="4" t="s">
        <v>227</v>
      </c>
      <c r="Q107" s="4" t="s">
        <v>54</v>
      </c>
      <c r="R107" s="4" t="s">
        <v>55</v>
      </c>
      <c r="S107" s="4" t="s">
        <v>56</v>
      </c>
      <c r="T107" s="4">
        <v>6</v>
      </c>
      <c r="U107" s="4" t="s">
        <v>57</v>
      </c>
      <c r="V107" s="4">
        <v>97459</v>
      </c>
      <c r="W107" s="4" t="s">
        <v>58</v>
      </c>
      <c r="X107" s="4">
        <v>1709459232</v>
      </c>
      <c r="Y107" s="4" t="s">
        <v>87</v>
      </c>
      <c r="Z107" s="4" t="s">
        <v>55</v>
      </c>
      <c r="AA107" s="4" t="s">
        <v>60</v>
      </c>
      <c r="AB107" s="4" t="s">
        <v>61</v>
      </c>
      <c r="AC107" s="4">
        <v>441</v>
      </c>
      <c r="AD107" s="4" t="s">
        <v>62</v>
      </c>
      <c r="AE107" s="4" t="s">
        <v>55</v>
      </c>
      <c r="AF107" s="4" t="s">
        <v>55</v>
      </c>
      <c r="AG107" s="4" t="s">
        <v>228</v>
      </c>
      <c r="AH107" s="4">
        <v>840103</v>
      </c>
      <c r="AI107" s="4" t="s">
        <v>139</v>
      </c>
      <c r="AJ107" s="4" t="s">
        <v>55</v>
      </c>
      <c r="AK107" s="5">
        <v>45630</v>
      </c>
      <c r="AL107" s="6">
        <v>45630</v>
      </c>
      <c r="AM107" s="6">
        <v>46081</v>
      </c>
      <c r="AN107" s="4">
        <v>10</v>
      </c>
      <c r="AO107" s="6">
        <v>49279</v>
      </c>
      <c r="AP107" s="9">
        <v>103.52</v>
      </c>
      <c r="AQ107" s="9">
        <v>10.35</v>
      </c>
      <c r="AR107" s="9">
        <v>91.98</v>
      </c>
      <c r="AS107" s="9">
        <v>11.54</v>
      </c>
      <c r="AT107" s="4" t="s">
        <v>49</v>
      </c>
    </row>
    <row r="108" spans="1:46" ht="75" hidden="1" x14ac:dyDescent="0.25">
      <c r="A108" s="4">
        <v>39429144</v>
      </c>
      <c r="B108" s="4" t="str">
        <f>""</f>
        <v/>
      </c>
      <c r="C108" s="4" t="str">
        <f>"300100060005"</f>
        <v>300100060005</v>
      </c>
      <c r="D108" s="4">
        <v>22</v>
      </c>
      <c r="E108" s="4" t="s">
        <v>132</v>
      </c>
      <c r="F108" s="4" t="s">
        <v>232</v>
      </c>
      <c r="G108" s="4" t="str">
        <f>"39429144"</f>
        <v>39429144</v>
      </c>
      <c r="H108" s="4" t="str">
        <f>""</f>
        <v/>
      </c>
      <c r="I108" s="4" t="str">
        <f>""</f>
        <v/>
      </c>
      <c r="J108" s="4"/>
      <c r="K108" s="4"/>
      <c r="L108" s="9">
        <v>129</v>
      </c>
      <c r="M108" s="4"/>
      <c r="N108" s="4" t="s">
        <v>233</v>
      </c>
      <c r="O108" s="4" t="s">
        <v>234</v>
      </c>
      <c r="P108" s="4" t="s">
        <v>235</v>
      </c>
      <c r="Q108" s="4" t="s">
        <v>54</v>
      </c>
      <c r="R108" s="4" t="s">
        <v>55</v>
      </c>
      <c r="S108" s="4" t="s">
        <v>56</v>
      </c>
      <c r="T108" s="4">
        <v>6</v>
      </c>
      <c r="U108" s="4" t="s">
        <v>57</v>
      </c>
      <c r="V108" s="4">
        <v>97459</v>
      </c>
      <c r="W108" s="4" t="s">
        <v>58</v>
      </c>
      <c r="X108" s="4">
        <v>1716349814</v>
      </c>
      <c r="Y108" s="4" t="s">
        <v>86</v>
      </c>
      <c r="Z108" s="4" t="s">
        <v>55</v>
      </c>
      <c r="AA108" s="4" t="s">
        <v>60</v>
      </c>
      <c r="AB108" s="4" t="s">
        <v>61</v>
      </c>
      <c r="AC108" s="4">
        <v>442</v>
      </c>
      <c r="AD108" s="4" t="s">
        <v>62</v>
      </c>
      <c r="AE108" s="4" t="s">
        <v>55</v>
      </c>
      <c r="AF108" s="4" t="s">
        <v>55</v>
      </c>
      <c r="AG108" s="4" t="s">
        <v>236</v>
      </c>
      <c r="AH108" s="4">
        <v>840103</v>
      </c>
      <c r="AI108" s="4" t="s">
        <v>139</v>
      </c>
      <c r="AJ108" s="4" t="s">
        <v>55</v>
      </c>
      <c r="AK108" s="5">
        <v>45635</v>
      </c>
      <c r="AL108" s="6">
        <v>45635</v>
      </c>
      <c r="AM108" s="6">
        <v>46081</v>
      </c>
      <c r="AN108" s="4">
        <v>10</v>
      </c>
      <c r="AO108" s="6">
        <v>49284</v>
      </c>
      <c r="AP108" s="9">
        <v>129</v>
      </c>
      <c r="AQ108" s="9">
        <v>12.9</v>
      </c>
      <c r="AR108" s="9">
        <v>114.79</v>
      </c>
      <c r="AS108" s="9">
        <v>14.21</v>
      </c>
      <c r="AT108" s="4" t="s">
        <v>49</v>
      </c>
    </row>
    <row r="109" spans="1:46" ht="75" hidden="1" x14ac:dyDescent="0.25">
      <c r="A109" s="4">
        <v>39429145</v>
      </c>
      <c r="B109" s="4" t="str">
        <f>""</f>
        <v/>
      </c>
      <c r="C109" s="4" t="str">
        <f>"300100060005"</f>
        <v>300100060005</v>
      </c>
      <c r="D109" s="4">
        <v>22</v>
      </c>
      <c r="E109" s="4" t="s">
        <v>132</v>
      </c>
      <c r="F109" s="4" t="s">
        <v>232</v>
      </c>
      <c r="G109" s="4" t="str">
        <f>"39429145"</f>
        <v>39429145</v>
      </c>
      <c r="H109" s="4" t="str">
        <f>""</f>
        <v/>
      </c>
      <c r="I109" s="4" t="str">
        <f>""</f>
        <v/>
      </c>
      <c r="J109" s="4"/>
      <c r="K109" s="4"/>
      <c r="L109" s="9">
        <v>129</v>
      </c>
      <c r="M109" s="4"/>
      <c r="N109" s="4" t="s">
        <v>233</v>
      </c>
      <c r="O109" s="4" t="s">
        <v>234</v>
      </c>
      <c r="P109" s="4" t="s">
        <v>235</v>
      </c>
      <c r="Q109" s="4" t="s">
        <v>54</v>
      </c>
      <c r="R109" s="4" t="s">
        <v>55</v>
      </c>
      <c r="S109" s="4" t="s">
        <v>56</v>
      </c>
      <c r="T109" s="4">
        <v>6</v>
      </c>
      <c r="U109" s="4" t="s">
        <v>57</v>
      </c>
      <c r="V109" s="4">
        <v>97459</v>
      </c>
      <c r="W109" s="4" t="s">
        <v>58</v>
      </c>
      <c r="X109" s="4">
        <v>1717662512</v>
      </c>
      <c r="Y109" s="4" t="s">
        <v>71</v>
      </c>
      <c r="Z109" s="4" t="s">
        <v>55</v>
      </c>
      <c r="AA109" s="4" t="s">
        <v>60</v>
      </c>
      <c r="AB109" s="4" t="s">
        <v>61</v>
      </c>
      <c r="AC109" s="4">
        <v>442</v>
      </c>
      <c r="AD109" s="4" t="s">
        <v>62</v>
      </c>
      <c r="AE109" s="4" t="s">
        <v>55</v>
      </c>
      <c r="AF109" s="4" t="s">
        <v>55</v>
      </c>
      <c r="AG109" s="4" t="s">
        <v>236</v>
      </c>
      <c r="AH109" s="4">
        <v>840103</v>
      </c>
      <c r="AI109" s="4" t="s">
        <v>139</v>
      </c>
      <c r="AJ109" s="4" t="s">
        <v>55</v>
      </c>
      <c r="AK109" s="5">
        <v>45635</v>
      </c>
      <c r="AL109" s="6">
        <v>45635</v>
      </c>
      <c r="AM109" s="6">
        <v>46081</v>
      </c>
      <c r="AN109" s="4">
        <v>10</v>
      </c>
      <c r="AO109" s="6">
        <v>49284</v>
      </c>
      <c r="AP109" s="9">
        <v>129</v>
      </c>
      <c r="AQ109" s="9">
        <v>12.9</v>
      </c>
      <c r="AR109" s="9">
        <v>114.79</v>
      </c>
      <c r="AS109" s="9">
        <v>14.21</v>
      </c>
      <c r="AT109" s="4" t="s">
        <v>49</v>
      </c>
    </row>
    <row r="110" spans="1:46" ht="75" hidden="1" x14ac:dyDescent="0.25">
      <c r="A110" s="4">
        <v>39429146</v>
      </c>
      <c r="B110" s="4" t="str">
        <f>""</f>
        <v/>
      </c>
      <c r="C110" s="4" t="str">
        <f>"300100060005"</f>
        <v>300100060005</v>
      </c>
      <c r="D110" s="4">
        <v>22</v>
      </c>
      <c r="E110" s="4" t="s">
        <v>132</v>
      </c>
      <c r="F110" s="4" t="s">
        <v>232</v>
      </c>
      <c r="G110" s="4" t="str">
        <f>"39429146"</f>
        <v>39429146</v>
      </c>
      <c r="H110" s="4" t="str">
        <f>""</f>
        <v/>
      </c>
      <c r="I110" s="4" t="str">
        <f>""</f>
        <v/>
      </c>
      <c r="J110" s="4"/>
      <c r="K110" s="4"/>
      <c r="L110" s="9">
        <v>129</v>
      </c>
      <c r="M110" s="4"/>
      <c r="N110" s="4" t="s">
        <v>113</v>
      </c>
      <c r="O110" s="4" t="s">
        <v>234</v>
      </c>
      <c r="P110" s="4" t="s">
        <v>235</v>
      </c>
      <c r="Q110" s="4" t="s">
        <v>54</v>
      </c>
      <c r="R110" s="4" t="s">
        <v>55</v>
      </c>
      <c r="S110" s="4" t="s">
        <v>56</v>
      </c>
      <c r="T110" s="4">
        <v>6</v>
      </c>
      <c r="U110" s="4" t="s">
        <v>57</v>
      </c>
      <c r="V110" s="4">
        <v>97459</v>
      </c>
      <c r="W110" s="4" t="s">
        <v>58</v>
      </c>
      <c r="X110" s="4">
        <v>102936168</v>
      </c>
      <c r="Y110" s="4" t="s">
        <v>59</v>
      </c>
      <c r="Z110" s="4" t="s">
        <v>55</v>
      </c>
      <c r="AA110" s="4" t="s">
        <v>60</v>
      </c>
      <c r="AB110" s="4" t="s">
        <v>61</v>
      </c>
      <c r="AC110" s="4">
        <v>442</v>
      </c>
      <c r="AD110" s="4" t="s">
        <v>62</v>
      </c>
      <c r="AE110" s="4" t="s">
        <v>55</v>
      </c>
      <c r="AF110" s="4" t="s">
        <v>55</v>
      </c>
      <c r="AG110" s="4" t="s">
        <v>236</v>
      </c>
      <c r="AH110" s="4">
        <v>840103</v>
      </c>
      <c r="AI110" s="4" t="s">
        <v>139</v>
      </c>
      <c r="AJ110" s="4" t="s">
        <v>55</v>
      </c>
      <c r="AK110" s="5">
        <v>45635</v>
      </c>
      <c r="AL110" s="6">
        <v>45635</v>
      </c>
      <c r="AM110" s="6">
        <v>46081</v>
      </c>
      <c r="AN110" s="4">
        <v>10</v>
      </c>
      <c r="AO110" s="6">
        <v>49284</v>
      </c>
      <c r="AP110" s="9">
        <v>129</v>
      </c>
      <c r="AQ110" s="9">
        <v>12.9</v>
      </c>
      <c r="AR110" s="9">
        <v>114.79</v>
      </c>
      <c r="AS110" s="9">
        <v>14.21</v>
      </c>
      <c r="AT110" s="4" t="s">
        <v>49</v>
      </c>
    </row>
    <row r="111" spans="1:46" ht="75" hidden="1" x14ac:dyDescent="0.25">
      <c r="A111" s="4">
        <v>39429147</v>
      </c>
      <c r="B111" s="4" t="str">
        <f>""</f>
        <v/>
      </c>
      <c r="C111" s="4" t="str">
        <f>"300800040002"</f>
        <v>300800040002</v>
      </c>
      <c r="D111" s="4">
        <v>22</v>
      </c>
      <c r="E111" s="4" t="s">
        <v>132</v>
      </c>
      <c r="F111" s="4" t="s">
        <v>240</v>
      </c>
      <c r="G111" s="4" t="str">
        <f>"39429147"</f>
        <v>39429147</v>
      </c>
      <c r="H111" s="4" t="str">
        <f>""</f>
        <v/>
      </c>
      <c r="I111" s="4" t="str">
        <f>""</f>
        <v/>
      </c>
      <c r="J111" s="4"/>
      <c r="K111" s="4"/>
      <c r="L111" s="9">
        <v>146</v>
      </c>
      <c r="M111" s="4"/>
      <c r="N111" s="4" t="s">
        <v>113</v>
      </c>
      <c r="O111" s="4" t="s">
        <v>69</v>
      </c>
      <c r="P111" s="4" t="s">
        <v>241</v>
      </c>
      <c r="Q111" s="4" t="s">
        <v>54</v>
      </c>
      <c r="R111" s="4" t="s">
        <v>55</v>
      </c>
      <c r="S111" s="4" t="s">
        <v>56</v>
      </c>
      <c r="T111" s="4">
        <v>6</v>
      </c>
      <c r="U111" s="4" t="s">
        <v>57</v>
      </c>
      <c r="V111" s="4">
        <v>97459</v>
      </c>
      <c r="W111" s="4" t="s">
        <v>58</v>
      </c>
      <c r="X111" s="4">
        <v>1711995694</v>
      </c>
      <c r="Y111" s="4" t="s">
        <v>169</v>
      </c>
      <c r="Z111" s="4" t="s">
        <v>55</v>
      </c>
      <c r="AA111" s="4" t="s">
        <v>60</v>
      </c>
      <c r="AB111" s="4" t="s">
        <v>61</v>
      </c>
      <c r="AC111" s="4">
        <v>442</v>
      </c>
      <c r="AD111" s="4" t="s">
        <v>62</v>
      </c>
      <c r="AE111" s="4" t="s">
        <v>55</v>
      </c>
      <c r="AF111" s="4" t="s">
        <v>55</v>
      </c>
      <c r="AG111" s="4" t="s">
        <v>236</v>
      </c>
      <c r="AH111" s="4">
        <v>840103</v>
      </c>
      <c r="AI111" s="4" t="s">
        <v>139</v>
      </c>
      <c r="AJ111" s="4" t="s">
        <v>55</v>
      </c>
      <c r="AK111" s="5">
        <v>45635</v>
      </c>
      <c r="AL111" s="6">
        <v>45635</v>
      </c>
      <c r="AM111" s="6">
        <v>46081</v>
      </c>
      <c r="AN111" s="4">
        <v>10</v>
      </c>
      <c r="AO111" s="6">
        <v>49284</v>
      </c>
      <c r="AP111" s="9">
        <v>146</v>
      </c>
      <c r="AQ111" s="9">
        <v>14.6</v>
      </c>
      <c r="AR111" s="9">
        <v>129.88999999999999</v>
      </c>
      <c r="AS111" s="9">
        <v>16.11</v>
      </c>
      <c r="AT111" s="4" t="s">
        <v>49</v>
      </c>
    </row>
    <row r="112" spans="1:46" ht="75" hidden="1" x14ac:dyDescent="0.25">
      <c r="A112" s="4">
        <v>39429148</v>
      </c>
      <c r="B112" s="4" t="str">
        <f>""</f>
        <v/>
      </c>
      <c r="C112" s="4" t="str">
        <f>"300800040002"</f>
        <v>300800040002</v>
      </c>
      <c r="D112" s="4">
        <v>22</v>
      </c>
      <c r="E112" s="4" t="s">
        <v>132</v>
      </c>
      <c r="F112" s="4" t="s">
        <v>240</v>
      </c>
      <c r="G112" s="4" t="str">
        <f>"39429148"</f>
        <v>39429148</v>
      </c>
      <c r="H112" s="4" t="str">
        <f>""</f>
        <v/>
      </c>
      <c r="I112" s="4" t="str">
        <f>""</f>
        <v/>
      </c>
      <c r="J112" s="4"/>
      <c r="K112" s="4"/>
      <c r="L112" s="9">
        <v>146</v>
      </c>
      <c r="M112" s="4"/>
      <c r="N112" s="4" t="s">
        <v>113</v>
      </c>
      <c r="O112" s="4" t="s">
        <v>69</v>
      </c>
      <c r="P112" s="4" t="s">
        <v>241</v>
      </c>
      <c r="Q112" s="4" t="s">
        <v>54</v>
      </c>
      <c r="R112" s="4" t="s">
        <v>55</v>
      </c>
      <c r="S112" s="4" t="s">
        <v>56</v>
      </c>
      <c r="T112" s="4">
        <v>6</v>
      </c>
      <c r="U112" s="4" t="s">
        <v>57</v>
      </c>
      <c r="V112" s="4">
        <v>97459</v>
      </c>
      <c r="W112" s="4" t="s">
        <v>58</v>
      </c>
      <c r="X112" s="4">
        <v>1709796500</v>
      </c>
      <c r="Y112" s="4" t="s">
        <v>157</v>
      </c>
      <c r="Z112" s="4" t="s">
        <v>55</v>
      </c>
      <c r="AA112" s="4" t="s">
        <v>60</v>
      </c>
      <c r="AB112" s="4" t="s">
        <v>61</v>
      </c>
      <c r="AC112" s="4">
        <v>442</v>
      </c>
      <c r="AD112" s="4" t="s">
        <v>62</v>
      </c>
      <c r="AE112" s="4" t="s">
        <v>55</v>
      </c>
      <c r="AF112" s="4" t="s">
        <v>55</v>
      </c>
      <c r="AG112" s="4" t="s">
        <v>236</v>
      </c>
      <c r="AH112" s="4">
        <v>840103</v>
      </c>
      <c r="AI112" s="4" t="s">
        <v>139</v>
      </c>
      <c r="AJ112" s="4" t="s">
        <v>55</v>
      </c>
      <c r="AK112" s="5">
        <v>45635</v>
      </c>
      <c r="AL112" s="6">
        <v>45635</v>
      </c>
      <c r="AM112" s="6">
        <v>46081</v>
      </c>
      <c r="AN112" s="4">
        <v>10</v>
      </c>
      <c r="AO112" s="6">
        <v>49284</v>
      </c>
      <c r="AP112" s="9">
        <v>146</v>
      </c>
      <c r="AQ112" s="9">
        <v>14.6</v>
      </c>
      <c r="AR112" s="9">
        <v>129.88999999999999</v>
      </c>
      <c r="AS112" s="9">
        <v>16.11</v>
      </c>
      <c r="AT112" s="4" t="s">
        <v>49</v>
      </c>
    </row>
    <row r="113" spans="1:46" ht="75" hidden="1" x14ac:dyDescent="0.25">
      <c r="A113" s="4">
        <v>39429149</v>
      </c>
      <c r="B113" s="4" t="str">
        <f>""</f>
        <v/>
      </c>
      <c r="C113" s="4" t="str">
        <f>"300800040002"</f>
        <v>300800040002</v>
      </c>
      <c r="D113" s="4">
        <v>22</v>
      </c>
      <c r="E113" s="4" t="s">
        <v>132</v>
      </c>
      <c r="F113" s="4" t="s">
        <v>240</v>
      </c>
      <c r="G113" s="4" t="str">
        <f>"39429149"</f>
        <v>39429149</v>
      </c>
      <c r="H113" s="4" t="str">
        <f>""</f>
        <v/>
      </c>
      <c r="I113" s="4" t="str">
        <f>""</f>
        <v/>
      </c>
      <c r="J113" s="4"/>
      <c r="K113" s="4"/>
      <c r="L113" s="9">
        <v>146</v>
      </c>
      <c r="M113" s="4"/>
      <c r="N113" s="4" t="s">
        <v>113</v>
      </c>
      <c r="O113" s="4" t="s">
        <v>69</v>
      </c>
      <c r="P113" s="4" t="s">
        <v>241</v>
      </c>
      <c r="Q113" s="4" t="s">
        <v>54</v>
      </c>
      <c r="R113" s="4" t="s">
        <v>55</v>
      </c>
      <c r="S113" s="4" t="s">
        <v>56</v>
      </c>
      <c r="T113" s="4">
        <v>6</v>
      </c>
      <c r="U113" s="4" t="s">
        <v>57</v>
      </c>
      <c r="V113" s="4">
        <v>97459</v>
      </c>
      <c r="W113" s="4" t="s">
        <v>58</v>
      </c>
      <c r="X113" s="4">
        <v>103542908</v>
      </c>
      <c r="Y113" s="4" t="s">
        <v>164</v>
      </c>
      <c r="Z113" s="4" t="s">
        <v>55</v>
      </c>
      <c r="AA113" s="4" t="s">
        <v>60</v>
      </c>
      <c r="AB113" s="4" t="s">
        <v>61</v>
      </c>
      <c r="AC113" s="4">
        <v>442</v>
      </c>
      <c r="AD113" s="4" t="s">
        <v>62</v>
      </c>
      <c r="AE113" s="4" t="s">
        <v>55</v>
      </c>
      <c r="AF113" s="4" t="s">
        <v>55</v>
      </c>
      <c r="AG113" s="4" t="s">
        <v>236</v>
      </c>
      <c r="AH113" s="4">
        <v>840103</v>
      </c>
      <c r="AI113" s="4" t="s">
        <v>139</v>
      </c>
      <c r="AJ113" s="4" t="s">
        <v>55</v>
      </c>
      <c r="AK113" s="5">
        <v>45635</v>
      </c>
      <c r="AL113" s="6">
        <v>45635</v>
      </c>
      <c r="AM113" s="6">
        <v>46081</v>
      </c>
      <c r="AN113" s="4">
        <v>10</v>
      </c>
      <c r="AO113" s="6">
        <v>49284</v>
      </c>
      <c r="AP113" s="9">
        <v>146</v>
      </c>
      <c r="AQ113" s="9">
        <v>14.6</v>
      </c>
      <c r="AR113" s="9">
        <v>129.88999999999999</v>
      </c>
      <c r="AS113" s="9">
        <v>16.11</v>
      </c>
      <c r="AT113" s="4" t="s">
        <v>49</v>
      </c>
    </row>
    <row r="114" spans="1:46" ht="75" hidden="1" x14ac:dyDescent="0.25">
      <c r="A114" s="4">
        <v>39429150</v>
      </c>
      <c r="B114" s="4" t="str">
        <f>""</f>
        <v/>
      </c>
      <c r="C114" s="4" t="str">
        <f>"300800040002"</f>
        <v>300800040002</v>
      </c>
      <c r="D114" s="4">
        <v>22</v>
      </c>
      <c r="E114" s="4" t="s">
        <v>132</v>
      </c>
      <c r="F114" s="4" t="s">
        <v>240</v>
      </c>
      <c r="G114" s="4" t="str">
        <f>"39429150"</f>
        <v>39429150</v>
      </c>
      <c r="H114" s="4" t="str">
        <f>""</f>
        <v/>
      </c>
      <c r="I114" s="4" t="str">
        <f>""</f>
        <v/>
      </c>
      <c r="J114" s="4"/>
      <c r="K114" s="4"/>
      <c r="L114" s="9">
        <v>146</v>
      </c>
      <c r="M114" s="4"/>
      <c r="N114" s="4" t="s">
        <v>113</v>
      </c>
      <c r="O114" s="4" t="s">
        <v>69</v>
      </c>
      <c r="P114" s="4" t="s">
        <v>241</v>
      </c>
      <c r="Q114" s="4" t="s">
        <v>54</v>
      </c>
      <c r="R114" s="4" t="s">
        <v>55</v>
      </c>
      <c r="S114" s="4" t="s">
        <v>56</v>
      </c>
      <c r="T114" s="4">
        <v>6</v>
      </c>
      <c r="U114" s="4" t="s">
        <v>57</v>
      </c>
      <c r="V114" s="4">
        <v>97459</v>
      </c>
      <c r="W114" s="4" t="s">
        <v>58</v>
      </c>
      <c r="X114" s="4">
        <v>1709459232</v>
      </c>
      <c r="Y114" s="4" t="s">
        <v>87</v>
      </c>
      <c r="Z114" s="4" t="s">
        <v>55</v>
      </c>
      <c r="AA114" s="4" t="s">
        <v>60</v>
      </c>
      <c r="AB114" s="4" t="s">
        <v>61</v>
      </c>
      <c r="AC114" s="4">
        <v>442</v>
      </c>
      <c r="AD114" s="4" t="s">
        <v>62</v>
      </c>
      <c r="AE114" s="4" t="s">
        <v>55</v>
      </c>
      <c r="AF114" s="4" t="s">
        <v>55</v>
      </c>
      <c r="AG114" s="4" t="s">
        <v>236</v>
      </c>
      <c r="AH114" s="4">
        <v>840103</v>
      </c>
      <c r="AI114" s="4" t="s">
        <v>139</v>
      </c>
      <c r="AJ114" s="4" t="s">
        <v>55</v>
      </c>
      <c r="AK114" s="5">
        <v>45635</v>
      </c>
      <c r="AL114" s="6">
        <v>45635</v>
      </c>
      <c r="AM114" s="6">
        <v>46081</v>
      </c>
      <c r="AN114" s="4">
        <v>10</v>
      </c>
      <c r="AO114" s="6">
        <v>49284</v>
      </c>
      <c r="AP114" s="9">
        <v>146</v>
      </c>
      <c r="AQ114" s="9">
        <v>14.6</v>
      </c>
      <c r="AR114" s="9">
        <v>129.88999999999999</v>
      </c>
      <c r="AS114" s="9">
        <v>16.11</v>
      </c>
      <c r="AT114" s="4" t="s">
        <v>49</v>
      </c>
    </row>
    <row r="115" spans="1:46" ht="75" hidden="1" x14ac:dyDescent="0.25">
      <c r="A115" s="4">
        <v>39429151</v>
      </c>
      <c r="B115" s="4" t="str">
        <f>""</f>
        <v/>
      </c>
      <c r="C115" s="4" t="str">
        <f>"300800040002"</f>
        <v>300800040002</v>
      </c>
      <c r="D115" s="4">
        <v>22</v>
      </c>
      <c r="E115" s="4" t="s">
        <v>132</v>
      </c>
      <c r="F115" s="4" t="s">
        <v>240</v>
      </c>
      <c r="G115" s="4" t="str">
        <f>"39429151"</f>
        <v>39429151</v>
      </c>
      <c r="H115" s="4" t="str">
        <f>""</f>
        <v/>
      </c>
      <c r="I115" s="4" t="str">
        <f>""</f>
        <v/>
      </c>
      <c r="J115" s="4"/>
      <c r="K115" s="4"/>
      <c r="L115" s="9">
        <v>146</v>
      </c>
      <c r="M115" s="4"/>
      <c r="N115" s="4" t="s">
        <v>113</v>
      </c>
      <c r="O115" s="4" t="s">
        <v>69</v>
      </c>
      <c r="P115" s="4" t="s">
        <v>241</v>
      </c>
      <c r="Q115" s="4" t="s">
        <v>54</v>
      </c>
      <c r="R115" s="4" t="s">
        <v>55</v>
      </c>
      <c r="S115" s="4" t="s">
        <v>56</v>
      </c>
      <c r="T115" s="4">
        <v>6</v>
      </c>
      <c r="U115" s="4" t="s">
        <v>57</v>
      </c>
      <c r="V115" s="4">
        <v>97459</v>
      </c>
      <c r="W115" s="4" t="s">
        <v>58</v>
      </c>
      <c r="X115" s="4">
        <v>1709459232</v>
      </c>
      <c r="Y115" s="4" t="s">
        <v>87</v>
      </c>
      <c r="Z115" s="4" t="s">
        <v>55</v>
      </c>
      <c r="AA115" s="4" t="s">
        <v>60</v>
      </c>
      <c r="AB115" s="4" t="s">
        <v>61</v>
      </c>
      <c r="AC115" s="4">
        <v>442</v>
      </c>
      <c r="AD115" s="4" t="s">
        <v>62</v>
      </c>
      <c r="AE115" s="4" t="s">
        <v>55</v>
      </c>
      <c r="AF115" s="4" t="s">
        <v>55</v>
      </c>
      <c r="AG115" s="4" t="s">
        <v>236</v>
      </c>
      <c r="AH115" s="4">
        <v>840103</v>
      </c>
      <c r="AI115" s="4" t="s">
        <v>139</v>
      </c>
      <c r="AJ115" s="4" t="s">
        <v>55</v>
      </c>
      <c r="AK115" s="5">
        <v>45635</v>
      </c>
      <c r="AL115" s="6">
        <v>45635</v>
      </c>
      <c r="AM115" s="6">
        <v>46081</v>
      </c>
      <c r="AN115" s="4">
        <v>10</v>
      </c>
      <c r="AO115" s="6">
        <v>49284</v>
      </c>
      <c r="AP115" s="9">
        <v>146</v>
      </c>
      <c r="AQ115" s="9">
        <v>14.6</v>
      </c>
      <c r="AR115" s="9">
        <v>129.88999999999999</v>
      </c>
      <c r="AS115" s="9">
        <v>16.11</v>
      </c>
      <c r="AT115" s="4" t="s">
        <v>49</v>
      </c>
    </row>
    <row r="116" spans="1:46" ht="30" hidden="1" x14ac:dyDescent="0.25">
      <c r="A116" s="4">
        <v>19762152</v>
      </c>
      <c r="B116" s="4" t="str">
        <f>""</f>
        <v/>
      </c>
      <c r="C116" s="4" t="str">
        <f>"401300270001"</f>
        <v>401300270001</v>
      </c>
      <c r="D116" s="4">
        <v>20</v>
      </c>
      <c r="E116" s="4" t="s">
        <v>132</v>
      </c>
      <c r="F116" s="4" t="s">
        <v>245</v>
      </c>
      <c r="G116" s="4" t="str">
        <f>"19762152"</f>
        <v>19762152</v>
      </c>
      <c r="H116" s="4" t="str">
        <f>"LG TV LED 55 SMART WEB OS 3.5/HDMI/USB/ISDBT/OS"</f>
        <v>LG TV LED 55 SMART WEB OS 3.5/HDMI/USB/ISDBT/OS</v>
      </c>
      <c r="I116" s="4" t="str">
        <f>"LG"</f>
        <v>LG</v>
      </c>
      <c r="J116" s="4" t="s">
        <v>49</v>
      </c>
      <c r="K116" s="4"/>
      <c r="L116" s="9">
        <v>1088.6400000000001</v>
      </c>
      <c r="M116" s="4" t="s">
        <v>49</v>
      </c>
      <c r="N116" s="4" t="s">
        <v>113</v>
      </c>
      <c r="O116" s="4" t="s">
        <v>247</v>
      </c>
      <c r="P116" s="4" t="s">
        <v>248</v>
      </c>
      <c r="Q116" s="4" t="s">
        <v>54</v>
      </c>
      <c r="R116" s="4" t="s">
        <v>55</v>
      </c>
      <c r="S116" s="4" t="s">
        <v>56</v>
      </c>
      <c r="T116" s="4">
        <v>6</v>
      </c>
      <c r="U116" s="4" t="s">
        <v>57</v>
      </c>
      <c r="V116" s="4">
        <v>97459</v>
      </c>
      <c r="W116" s="4" t="s">
        <v>58</v>
      </c>
      <c r="X116" s="4">
        <v>1719443135</v>
      </c>
      <c r="Y116" s="4" t="s">
        <v>109</v>
      </c>
      <c r="Z116" s="4" t="s">
        <v>55</v>
      </c>
      <c r="AA116" s="4" t="s">
        <v>60</v>
      </c>
      <c r="AB116" s="4" t="s">
        <v>61</v>
      </c>
      <c r="AC116" s="4">
        <v>573</v>
      </c>
      <c r="AD116" s="4" t="s">
        <v>62</v>
      </c>
      <c r="AE116" s="4" t="s">
        <v>55</v>
      </c>
      <c r="AF116" s="4" t="s">
        <v>55</v>
      </c>
      <c r="AG116" s="4" t="s">
        <v>249</v>
      </c>
      <c r="AH116" s="4">
        <v>840104</v>
      </c>
      <c r="AI116" s="4" t="s">
        <v>250</v>
      </c>
      <c r="AJ116" s="4" t="s">
        <v>55</v>
      </c>
      <c r="AK116" s="5">
        <v>43066</v>
      </c>
      <c r="AL116" s="6">
        <v>43066</v>
      </c>
      <c r="AM116" s="6">
        <v>46081</v>
      </c>
      <c r="AN116" s="4">
        <v>10</v>
      </c>
      <c r="AO116" s="6">
        <v>46715</v>
      </c>
      <c r="AP116" s="9">
        <v>1088.6400000000001</v>
      </c>
      <c r="AQ116" s="9">
        <v>108.86</v>
      </c>
      <c r="AR116" s="9">
        <v>279.10000000000002</v>
      </c>
      <c r="AS116" s="9">
        <v>809.54</v>
      </c>
      <c r="AT116" s="4" t="s">
        <v>49</v>
      </c>
    </row>
    <row r="117" spans="1:46" ht="90" hidden="1" x14ac:dyDescent="0.25">
      <c r="A117" s="4">
        <v>40135623</v>
      </c>
      <c r="B117" s="4" t="str">
        <f>""</f>
        <v/>
      </c>
      <c r="C117" s="4" t="str">
        <f>"401800380001"</f>
        <v>401800380001</v>
      </c>
      <c r="D117" s="4">
        <v>5</v>
      </c>
      <c r="E117" s="4" t="s">
        <v>132</v>
      </c>
      <c r="F117" s="4" t="s">
        <v>254</v>
      </c>
      <c r="G117" s="4" t="str">
        <f>"40135623"</f>
        <v>40135623</v>
      </c>
      <c r="H117" s="4" t="str">
        <f>""</f>
        <v/>
      </c>
      <c r="I117" s="4" t="str">
        <f>""</f>
        <v/>
      </c>
      <c r="J117" s="4"/>
      <c r="K117" s="4"/>
      <c r="L117" s="9">
        <v>102</v>
      </c>
      <c r="M117" s="4"/>
      <c r="N117" s="4" t="s">
        <v>113</v>
      </c>
      <c r="O117" s="4" t="s">
        <v>255</v>
      </c>
      <c r="P117" s="4" t="s">
        <v>256</v>
      </c>
      <c r="Q117" s="4" t="s">
        <v>54</v>
      </c>
      <c r="R117" s="4" t="s">
        <v>55</v>
      </c>
      <c r="S117" s="4" t="s">
        <v>56</v>
      </c>
      <c r="T117" s="4">
        <v>6</v>
      </c>
      <c r="U117" s="4" t="s">
        <v>57</v>
      </c>
      <c r="V117" s="4">
        <v>97459</v>
      </c>
      <c r="W117" s="4" t="s">
        <v>58</v>
      </c>
      <c r="X117" s="4">
        <v>1714641105</v>
      </c>
      <c r="Y117" s="4" t="s">
        <v>89</v>
      </c>
      <c r="Z117" s="4" t="s">
        <v>55</v>
      </c>
      <c r="AA117" s="4" t="s">
        <v>116</v>
      </c>
      <c r="AB117" s="4" t="s">
        <v>61</v>
      </c>
      <c r="AC117" s="4" t="s">
        <v>73</v>
      </c>
      <c r="AD117" s="4" t="s">
        <v>62</v>
      </c>
      <c r="AE117" s="4" t="s">
        <v>55</v>
      </c>
      <c r="AF117" s="4" t="s">
        <v>55</v>
      </c>
      <c r="AG117" s="4" t="s">
        <v>257</v>
      </c>
      <c r="AH117" s="4">
        <v>0</v>
      </c>
      <c r="AI117" s="4" t="s">
        <v>250</v>
      </c>
      <c r="AJ117" s="4" t="s">
        <v>55</v>
      </c>
      <c r="AK117" s="5">
        <v>45855</v>
      </c>
      <c r="AL117" s="6">
        <v>45855</v>
      </c>
      <c r="AM117" s="6">
        <v>46081</v>
      </c>
      <c r="AN117" s="4">
        <v>3</v>
      </c>
      <c r="AO117" s="6">
        <v>46949</v>
      </c>
      <c r="AP117" s="9">
        <v>102</v>
      </c>
      <c r="AQ117" s="9">
        <v>10.199999999999999</v>
      </c>
      <c r="AR117" s="9">
        <v>82.96</v>
      </c>
      <c r="AS117" s="9">
        <v>19.04</v>
      </c>
      <c r="AT117" s="4" t="s">
        <v>49</v>
      </c>
    </row>
    <row r="118" spans="1:46" ht="75" hidden="1" x14ac:dyDescent="0.25">
      <c r="A118" s="4">
        <v>30555422</v>
      </c>
      <c r="B118" s="4" t="str">
        <f>""</f>
        <v/>
      </c>
      <c r="C118" s="4" t="str">
        <f>"401700090001"</f>
        <v>401700090001</v>
      </c>
      <c r="D118" s="4">
        <v>3</v>
      </c>
      <c r="E118" s="4" t="s">
        <v>132</v>
      </c>
      <c r="F118" s="4" t="s">
        <v>260</v>
      </c>
      <c r="G118" s="4" t="str">
        <f>"30555422"</f>
        <v>30555422</v>
      </c>
      <c r="H118" s="4" t="str">
        <f>"N/A CARPA CON LOGOTIPO INSTITUCIONAL DE LONA REFORZADA"</f>
        <v>N/A CARPA CON LOGOTIPO INSTITUCIONAL DE LONA REFORZADA</v>
      </c>
      <c r="I118" s="4" t="str">
        <f>"SIN MARCA / ESTRUCTURA METALICA"</f>
        <v>SIN MARCA / ESTRUCTURA METALICA</v>
      </c>
      <c r="J118" s="4" t="s">
        <v>49</v>
      </c>
      <c r="K118" s="4"/>
      <c r="L118" s="9">
        <v>336</v>
      </c>
      <c r="M118" s="4" t="s">
        <v>49</v>
      </c>
      <c r="N118" s="4" t="s">
        <v>113</v>
      </c>
      <c r="O118" s="4" t="s">
        <v>261</v>
      </c>
      <c r="P118" s="4" t="s">
        <v>262</v>
      </c>
      <c r="Q118" s="4" t="s">
        <v>54</v>
      </c>
      <c r="R118" s="4" t="s">
        <v>55</v>
      </c>
      <c r="S118" s="4" t="s">
        <v>56</v>
      </c>
      <c r="T118" s="4">
        <v>6</v>
      </c>
      <c r="U118" s="4" t="s">
        <v>57</v>
      </c>
      <c r="V118" s="4">
        <v>97459</v>
      </c>
      <c r="W118" s="4" t="s">
        <v>58</v>
      </c>
      <c r="X118" s="4">
        <v>1717662512</v>
      </c>
      <c r="Y118" s="4" t="s">
        <v>71</v>
      </c>
      <c r="Z118" s="4" t="s">
        <v>55</v>
      </c>
      <c r="AA118" s="4" t="s">
        <v>263</v>
      </c>
      <c r="AB118" s="4" t="s">
        <v>61</v>
      </c>
      <c r="AC118" s="4" t="s">
        <v>73</v>
      </c>
      <c r="AD118" s="4" t="s">
        <v>62</v>
      </c>
      <c r="AE118" s="4" t="s">
        <v>55</v>
      </c>
      <c r="AF118" s="4" t="s">
        <v>55</v>
      </c>
      <c r="AG118" s="4" t="s">
        <v>264</v>
      </c>
      <c r="AH118" s="4">
        <v>0</v>
      </c>
      <c r="AI118" s="4" t="s">
        <v>250</v>
      </c>
      <c r="AJ118" s="4" t="s">
        <v>55</v>
      </c>
      <c r="AK118" s="5">
        <v>43893</v>
      </c>
      <c r="AL118" s="6">
        <v>43741</v>
      </c>
      <c r="AM118" s="6">
        <v>46081</v>
      </c>
      <c r="AN118" s="4">
        <v>10</v>
      </c>
      <c r="AO118" s="6">
        <v>47390</v>
      </c>
      <c r="AP118" s="9">
        <v>336</v>
      </c>
      <c r="AQ118" s="9">
        <v>33.6</v>
      </c>
      <c r="AR118" s="9">
        <v>142.01</v>
      </c>
      <c r="AS118" s="9">
        <v>193.99</v>
      </c>
      <c r="AT118" s="4" t="s">
        <v>49</v>
      </c>
    </row>
    <row r="119" spans="1:46" ht="75" hidden="1" x14ac:dyDescent="0.25">
      <c r="A119" s="4">
        <v>30555423</v>
      </c>
      <c r="B119" s="4" t="str">
        <f>""</f>
        <v/>
      </c>
      <c r="C119" s="4" t="str">
        <f>"401700090001"</f>
        <v>401700090001</v>
      </c>
      <c r="D119" s="4">
        <v>3</v>
      </c>
      <c r="E119" s="4" t="s">
        <v>132</v>
      </c>
      <c r="F119" s="4" t="s">
        <v>260</v>
      </c>
      <c r="G119" s="4" t="str">
        <f>"30555423"</f>
        <v>30555423</v>
      </c>
      <c r="H119" s="4" t="str">
        <f>"N/A CARPA CON LOGOTIPO INSTITUCIONAL DE LONA REFORZADA"</f>
        <v>N/A CARPA CON LOGOTIPO INSTITUCIONAL DE LONA REFORZADA</v>
      </c>
      <c r="I119" s="4" t="str">
        <f>"SIN MARCA / ESTRUCTURA METALICA "</f>
        <v xml:space="preserve">SIN MARCA / ESTRUCTURA METALICA </v>
      </c>
      <c r="J119" s="4" t="s">
        <v>49</v>
      </c>
      <c r="K119" s="4"/>
      <c r="L119" s="9">
        <v>336</v>
      </c>
      <c r="M119" s="4" t="s">
        <v>49</v>
      </c>
      <c r="N119" s="4" t="s">
        <v>113</v>
      </c>
      <c r="O119" s="4" t="s">
        <v>261</v>
      </c>
      <c r="P119" s="4" t="s">
        <v>262</v>
      </c>
      <c r="Q119" s="4" t="s">
        <v>54</v>
      </c>
      <c r="R119" s="4" t="s">
        <v>55</v>
      </c>
      <c r="S119" s="4" t="s">
        <v>56</v>
      </c>
      <c r="T119" s="4">
        <v>6</v>
      </c>
      <c r="U119" s="4" t="s">
        <v>57</v>
      </c>
      <c r="V119" s="4">
        <v>97459</v>
      </c>
      <c r="W119" s="4" t="s">
        <v>58</v>
      </c>
      <c r="X119" s="4">
        <v>1717662512</v>
      </c>
      <c r="Y119" s="4" t="s">
        <v>71</v>
      </c>
      <c r="Z119" s="4" t="s">
        <v>55</v>
      </c>
      <c r="AA119" s="4" t="s">
        <v>263</v>
      </c>
      <c r="AB119" s="4" t="s">
        <v>61</v>
      </c>
      <c r="AC119" s="4" t="s">
        <v>73</v>
      </c>
      <c r="AD119" s="4" t="s">
        <v>62</v>
      </c>
      <c r="AE119" s="4" t="s">
        <v>55</v>
      </c>
      <c r="AF119" s="4" t="s">
        <v>55</v>
      </c>
      <c r="AG119" s="4" t="s">
        <v>264</v>
      </c>
      <c r="AH119" s="4">
        <v>0</v>
      </c>
      <c r="AI119" s="4" t="s">
        <v>250</v>
      </c>
      <c r="AJ119" s="4" t="s">
        <v>55</v>
      </c>
      <c r="AK119" s="5">
        <v>43893</v>
      </c>
      <c r="AL119" s="6">
        <v>43741</v>
      </c>
      <c r="AM119" s="6">
        <v>46081</v>
      </c>
      <c r="AN119" s="4">
        <v>10</v>
      </c>
      <c r="AO119" s="6">
        <v>47390</v>
      </c>
      <c r="AP119" s="9">
        <v>336</v>
      </c>
      <c r="AQ119" s="9">
        <v>33.6</v>
      </c>
      <c r="AR119" s="9">
        <v>142.01</v>
      </c>
      <c r="AS119" s="9">
        <v>193.99</v>
      </c>
      <c r="AT119" s="4" t="s">
        <v>49</v>
      </c>
    </row>
    <row r="120" spans="1:46" ht="150" hidden="1" x14ac:dyDescent="0.25">
      <c r="A120" s="4">
        <v>19573954</v>
      </c>
      <c r="B120" s="4" t="str">
        <f>""</f>
        <v/>
      </c>
      <c r="C120" s="4" t="str">
        <f>"400100440001"</f>
        <v>400100440001</v>
      </c>
      <c r="D120" s="4">
        <v>16</v>
      </c>
      <c r="E120" s="4" t="s">
        <v>132</v>
      </c>
      <c r="F120" s="4" t="s">
        <v>268</v>
      </c>
      <c r="G120" s="4" t="str">
        <f>"19573954"</f>
        <v>19573954</v>
      </c>
      <c r="H120" s="4" t="str">
        <f>"PROYECTOR EPSON S31+ PANTALLA LCD 0.55 CON D7"</f>
        <v>PROYECTOR EPSON S31+ PANTALLA LCD 0.55 CON D7</v>
      </c>
      <c r="I120" s="4" t="str">
        <f>"EPSON / 3200 LUMEN EN LUZ A COLOR Y BLANCA RESOLUCION SVGA 800X600 4:3 CONECTIVIDAD 3 EN 1"</f>
        <v>EPSON / 3200 LUMEN EN LUZ A COLOR Y BLANCA RESOLUCION SVGA 800X600 4:3 CONECTIVIDAD 3 EN 1</v>
      </c>
      <c r="J120" s="4" t="s">
        <v>49</v>
      </c>
      <c r="K120" s="4"/>
      <c r="L120" s="9">
        <v>593.6</v>
      </c>
      <c r="M120" s="4" t="s">
        <v>49</v>
      </c>
      <c r="N120" s="4" t="s">
        <v>113</v>
      </c>
      <c r="O120" s="4" t="s">
        <v>270</v>
      </c>
      <c r="P120" s="4" t="s">
        <v>271</v>
      </c>
      <c r="Q120" s="4" t="s">
        <v>54</v>
      </c>
      <c r="R120" s="4" t="s">
        <v>55</v>
      </c>
      <c r="S120" s="4" t="s">
        <v>56</v>
      </c>
      <c r="T120" s="4">
        <v>6</v>
      </c>
      <c r="U120" s="4" t="s">
        <v>57</v>
      </c>
      <c r="V120" s="4">
        <v>97459</v>
      </c>
      <c r="W120" s="4" t="s">
        <v>58</v>
      </c>
      <c r="X120" s="4">
        <v>1717662512</v>
      </c>
      <c r="Y120" s="4" t="s">
        <v>71</v>
      </c>
      <c r="Z120" s="4" t="s">
        <v>55</v>
      </c>
      <c r="AA120" s="4" t="s">
        <v>60</v>
      </c>
      <c r="AB120" s="4" t="s">
        <v>61</v>
      </c>
      <c r="AC120" s="4">
        <v>556</v>
      </c>
      <c r="AD120" s="4" t="s">
        <v>62</v>
      </c>
      <c r="AE120" s="4" t="s">
        <v>55</v>
      </c>
      <c r="AF120" s="4" t="s">
        <v>55</v>
      </c>
      <c r="AG120" s="4" t="s">
        <v>272</v>
      </c>
      <c r="AH120" s="4">
        <v>840104</v>
      </c>
      <c r="AI120" s="4" t="s">
        <v>250</v>
      </c>
      <c r="AJ120" s="4" t="s">
        <v>55</v>
      </c>
      <c r="AK120" s="5">
        <v>43055</v>
      </c>
      <c r="AL120" s="6">
        <v>43061</v>
      </c>
      <c r="AM120" s="6">
        <v>46081</v>
      </c>
      <c r="AN120" s="4">
        <v>10</v>
      </c>
      <c r="AO120" s="6">
        <v>46710</v>
      </c>
      <c r="AP120" s="9">
        <v>593.6</v>
      </c>
      <c r="AQ120" s="9">
        <v>59.36</v>
      </c>
      <c r="AR120" s="9">
        <v>151.38999999999999</v>
      </c>
      <c r="AS120" s="9">
        <v>442.21</v>
      </c>
      <c r="AT120" s="4" t="s">
        <v>49</v>
      </c>
    </row>
    <row r="121" spans="1:46" ht="90" hidden="1" x14ac:dyDescent="0.25">
      <c r="A121" s="4">
        <v>19971132</v>
      </c>
      <c r="B121" s="4" t="str">
        <f>""</f>
        <v/>
      </c>
      <c r="C121" s="4" t="str">
        <f>"401100410001"</f>
        <v>401100410001</v>
      </c>
      <c r="D121" s="4">
        <v>21</v>
      </c>
      <c r="E121" s="4" t="s">
        <v>132</v>
      </c>
      <c r="F121" s="4" t="s">
        <v>276</v>
      </c>
      <c r="G121" s="4" t="str">
        <f>"19971132"</f>
        <v>19971132</v>
      </c>
      <c r="H121" s="4" t="str">
        <f>"FDR-AX53/ VIDEO CAMARA / MODO ACTIVO INTELIGENTE DE 5EJES /LENTE GRAN ANGULAR ZEISS"</f>
        <v>FDR-AX53/ VIDEO CAMARA / MODO ACTIVO INTELIGENTE DE 5EJES /LENTE GRAN ANGULAR ZEISS</v>
      </c>
      <c r="I121" s="4" t="str">
        <f>"SONY / GRABACION 4K/ ULTRA HD / BALANCED OPTICAL"</f>
        <v>SONY / GRABACION 4K/ ULTRA HD / BALANCED OPTICAL</v>
      </c>
      <c r="J121" s="4" t="s">
        <v>49</v>
      </c>
      <c r="K121" s="4"/>
      <c r="L121" s="9">
        <v>1545.6</v>
      </c>
      <c r="M121" s="4" t="s">
        <v>49</v>
      </c>
      <c r="N121" s="4" t="s">
        <v>113</v>
      </c>
      <c r="O121" s="4" t="s">
        <v>278</v>
      </c>
      <c r="P121" s="4" t="s">
        <v>279</v>
      </c>
      <c r="Q121" s="4" t="s">
        <v>54</v>
      </c>
      <c r="R121" s="4" t="s">
        <v>55</v>
      </c>
      <c r="S121" s="4" t="s">
        <v>56</v>
      </c>
      <c r="T121" s="4">
        <v>6</v>
      </c>
      <c r="U121" s="4" t="s">
        <v>57</v>
      </c>
      <c r="V121" s="4">
        <v>97459</v>
      </c>
      <c r="W121" s="4" t="s">
        <v>58</v>
      </c>
      <c r="X121" s="4">
        <v>1717662512</v>
      </c>
      <c r="Y121" s="4" t="s">
        <v>71</v>
      </c>
      <c r="Z121" s="4" t="s">
        <v>55</v>
      </c>
      <c r="AA121" s="4" t="s">
        <v>60</v>
      </c>
      <c r="AB121" s="4" t="s">
        <v>61</v>
      </c>
      <c r="AC121" s="4">
        <v>592</v>
      </c>
      <c r="AD121" s="4" t="s">
        <v>62</v>
      </c>
      <c r="AE121" s="4" t="s">
        <v>55</v>
      </c>
      <c r="AF121" s="4" t="s">
        <v>55</v>
      </c>
      <c r="AG121" s="4" t="s">
        <v>280</v>
      </c>
      <c r="AH121" s="4">
        <v>840104</v>
      </c>
      <c r="AI121" s="4" t="s">
        <v>250</v>
      </c>
      <c r="AJ121" s="4" t="s">
        <v>55</v>
      </c>
      <c r="AK121" s="5">
        <v>43081</v>
      </c>
      <c r="AL121" s="6">
        <v>43081</v>
      </c>
      <c r="AM121" s="6">
        <v>46081</v>
      </c>
      <c r="AN121" s="4">
        <v>10</v>
      </c>
      <c r="AO121" s="6">
        <v>46730</v>
      </c>
      <c r="AP121" s="9">
        <v>1545.6</v>
      </c>
      <c r="AQ121" s="9">
        <v>154.56</v>
      </c>
      <c r="AR121" s="9">
        <v>401.97</v>
      </c>
      <c r="AS121" s="9">
        <v>1143.6300000000001</v>
      </c>
      <c r="AT121" s="4" t="s">
        <v>49</v>
      </c>
    </row>
    <row r="122" spans="1:46" ht="60" hidden="1" x14ac:dyDescent="0.25">
      <c r="A122" s="4">
        <v>26437577</v>
      </c>
      <c r="B122" s="4" t="str">
        <f>""</f>
        <v/>
      </c>
      <c r="C122" s="4" t="str">
        <f>"400100220001"</f>
        <v>400100220001</v>
      </c>
      <c r="D122" s="4">
        <v>10</v>
      </c>
      <c r="E122" s="4" t="s">
        <v>132</v>
      </c>
      <c r="F122" s="4" t="s">
        <v>284</v>
      </c>
      <c r="G122" s="4" t="str">
        <f>"26437577"</f>
        <v>26437577</v>
      </c>
      <c r="H122" s="4" t="str">
        <f>"ZKTeco k50 / Pantalla TFT LCD a color de 2.8 pulgadas"</f>
        <v>ZKTeco k50 / Pantalla TFT LCD a color de 2.8 pulgadas</v>
      </c>
      <c r="I122" s="4" t="str">
        <f>"ZKTeco/ Interfaz TCP/IP y puerto USB"</f>
        <v>ZKTeco/ Interfaz TCP/IP y puerto USB</v>
      </c>
      <c r="J122" s="4" t="s">
        <v>49</v>
      </c>
      <c r="K122" s="4"/>
      <c r="L122" s="9">
        <v>300</v>
      </c>
      <c r="M122" s="4" t="s">
        <v>49</v>
      </c>
      <c r="N122" s="4" t="s">
        <v>113</v>
      </c>
      <c r="O122" s="4" t="s">
        <v>285</v>
      </c>
      <c r="P122" s="4" t="s">
        <v>286</v>
      </c>
      <c r="Q122" s="4" t="s">
        <v>54</v>
      </c>
      <c r="R122" s="4" t="s">
        <v>55</v>
      </c>
      <c r="S122" s="4" t="s">
        <v>56</v>
      </c>
      <c r="T122" s="4">
        <v>6</v>
      </c>
      <c r="U122" s="4" t="s">
        <v>57</v>
      </c>
      <c r="V122" s="4">
        <v>97459</v>
      </c>
      <c r="W122" s="4" t="s">
        <v>58</v>
      </c>
      <c r="X122" s="4">
        <v>1717662512</v>
      </c>
      <c r="Y122" s="4" t="s">
        <v>71</v>
      </c>
      <c r="Z122" s="4" t="s">
        <v>55</v>
      </c>
      <c r="AA122" s="4" t="s">
        <v>116</v>
      </c>
      <c r="AB122" s="4" t="s">
        <v>61</v>
      </c>
      <c r="AC122" s="4" t="s">
        <v>73</v>
      </c>
      <c r="AD122" s="4" t="s">
        <v>62</v>
      </c>
      <c r="AE122" s="4" t="s">
        <v>55</v>
      </c>
      <c r="AF122" s="4" t="s">
        <v>55</v>
      </c>
      <c r="AG122" s="4" t="s">
        <v>287</v>
      </c>
      <c r="AH122" s="4">
        <v>0</v>
      </c>
      <c r="AI122" s="4" t="s">
        <v>250</v>
      </c>
      <c r="AJ122" s="4" t="s">
        <v>55</v>
      </c>
      <c r="AK122" s="5">
        <v>43448</v>
      </c>
      <c r="AL122" s="6">
        <v>43445</v>
      </c>
      <c r="AM122" s="6">
        <v>46081</v>
      </c>
      <c r="AN122" s="4">
        <v>10</v>
      </c>
      <c r="AO122" s="6">
        <v>47094</v>
      </c>
      <c r="AP122" s="9">
        <v>300</v>
      </c>
      <c r="AQ122" s="9">
        <v>30</v>
      </c>
      <c r="AR122" s="9">
        <v>104.96</v>
      </c>
      <c r="AS122" s="9">
        <v>195.04</v>
      </c>
      <c r="AT122" s="4" t="s">
        <v>49</v>
      </c>
    </row>
    <row r="123" spans="1:46" ht="60" x14ac:dyDescent="0.25">
      <c r="A123" s="4">
        <v>40577385</v>
      </c>
      <c r="B123" s="4" t="str">
        <f>""</f>
        <v/>
      </c>
      <c r="C123" s="4" t="str">
        <f t="shared" ref="C123:C128" si="14">"400100410002"</f>
        <v>400100410002</v>
      </c>
      <c r="D123" s="4">
        <v>40</v>
      </c>
      <c r="E123" s="4" t="s">
        <v>132</v>
      </c>
      <c r="F123" s="4" t="s">
        <v>290</v>
      </c>
      <c r="G123" s="4" t="str">
        <f>"865086053575323"</f>
        <v>865086053575323</v>
      </c>
      <c r="H123" s="4" t="str">
        <f t="shared" ref="H123:H128" si="15">"X3"</f>
        <v>X3</v>
      </c>
      <c r="I123" s="4" t="str">
        <f t="shared" ref="I123:I128" si="16">"POCO"</f>
        <v>POCO</v>
      </c>
      <c r="J123" s="4"/>
      <c r="K123" s="4"/>
      <c r="L123" s="9">
        <v>250</v>
      </c>
      <c r="M123" s="4"/>
      <c r="N123" s="4" t="s">
        <v>113</v>
      </c>
      <c r="O123" s="4" t="s">
        <v>291</v>
      </c>
      <c r="P123" s="4" t="s">
        <v>292</v>
      </c>
      <c r="Q123" s="4" t="s">
        <v>54</v>
      </c>
      <c r="R123" s="4" t="s">
        <v>55</v>
      </c>
      <c r="S123" s="4" t="s">
        <v>56</v>
      </c>
      <c r="T123" s="4">
        <v>6</v>
      </c>
      <c r="U123" s="4" t="s">
        <v>57</v>
      </c>
      <c r="V123" s="4">
        <v>97459</v>
      </c>
      <c r="W123" s="4" t="s">
        <v>58</v>
      </c>
      <c r="X123" s="4">
        <v>1717662512</v>
      </c>
      <c r="Y123" s="4" t="s">
        <v>71</v>
      </c>
      <c r="Z123" s="4" t="s">
        <v>55</v>
      </c>
      <c r="AA123" s="4" t="s">
        <v>116</v>
      </c>
      <c r="AB123" s="4" t="s">
        <v>61</v>
      </c>
      <c r="AC123" s="4" t="s">
        <v>73</v>
      </c>
      <c r="AD123" s="4" t="s">
        <v>62</v>
      </c>
      <c r="AE123" s="4" t="s">
        <v>55</v>
      </c>
      <c r="AF123" s="4" t="s">
        <v>55</v>
      </c>
      <c r="AG123" s="4" t="s">
        <v>293</v>
      </c>
      <c r="AH123" s="4">
        <v>0</v>
      </c>
      <c r="AI123" s="4" t="s">
        <v>250</v>
      </c>
      <c r="AJ123" s="4" t="s">
        <v>55</v>
      </c>
      <c r="AK123" s="5">
        <v>45968</v>
      </c>
      <c r="AL123" s="6">
        <v>45968</v>
      </c>
      <c r="AM123" s="6">
        <v>46081</v>
      </c>
      <c r="AN123" s="4">
        <v>1</v>
      </c>
      <c r="AO123" s="6">
        <v>46332</v>
      </c>
      <c r="AP123" s="9">
        <v>250</v>
      </c>
      <c r="AQ123" s="9">
        <v>25</v>
      </c>
      <c r="AR123" s="9">
        <v>179.73</v>
      </c>
      <c r="AS123" s="9">
        <v>70.27</v>
      </c>
      <c r="AT123" s="4" t="s">
        <v>49</v>
      </c>
    </row>
    <row r="124" spans="1:46" ht="60" x14ac:dyDescent="0.25">
      <c r="A124" s="4">
        <v>40577388</v>
      </c>
      <c r="B124" s="4" t="str">
        <f>""</f>
        <v/>
      </c>
      <c r="C124" s="4" t="str">
        <f t="shared" si="14"/>
        <v>400100410002</v>
      </c>
      <c r="D124" s="4">
        <v>41</v>
      </c>
      <c r="E124" s="4" t="s">
        <v>132</v>
      </c>
      <c r="F124" s="4" t="s">
        <v>290</v>
      </c>
      <c r="G124" s="4" t="str">
        <f>"860793056337560"</f>
        <v>860793056337560</v>
      </c>
      <c r="H124" s="4" t="str">
        <f t="shared" si="15"/>
        <v>X3</v>
      </c>
      <c r="I124" s="4" t="str">
        <f t="shared" si="16"/>
        <v>POCO</v>
      </c>
      <c r="J124" s="4"/>
      <c r="K124" s="4"/>
      <c r="L124" s="9">
        <v>250</v>
      </c>
      <c r="M124" s="4"/>
      <c r="N124" s="4" t="s">
        <v>113</v>
      </c>
      <c r="O124" s="4" t="s">
        <v>291</v>
      </c>
      <c r="P124" s="4" t="s">
        <v>292</v>
      </c>
      <c r="Q124" s="4" t="s">
        <v>54</v>
      </c>
      <c r="R124" s="4" t="s">
        <v>55</v>
      </c>
      <c r="S124" s="4" t="s">
        <v>56</v>
      </c>
      <c r="T124" s="4">
        <v>6</v>
      </c>
      <c r="U124" s="4" t="s">
        <v>57</v>
      </c>
      <c r="V124" s="4">
        <v>97459</v>
      </c>
      <c r="W124" s="4" t="s">
        <v>58</v>
      </c>
      <c r="X124" s="4">
        <v>1717662512</v>
      </c>
      <c r="Y124" s="4" t="s">
        <v>71</v>
      </c>
      <c r="Z124" s="4" t="s">
        <v>55</v>
      </c>
      <c r="AA124" s="4" t="s">
        <v>116</v>
      </c>
      <c r="AB124" s="4" t="s">
        <v>61</v>
      </c>
      <c r="AC124" s="4" t="s">
        <v>73</v>
      </c>
      <c r="AD124" s="4" t="s">
        <v>62</v>
      </c>
      <c r="AE124" s="4" t="s">
        <v>55</v>
      </c>
      <c r="AF124" s="4" t="s">
        <v>55</v>
      </c>
      <c r="AG124" s="4" t="s">
        <v>296</v>
      </c>
      <c r="AH124" s="4">
        <v>0</v>
      </c>
      <c r="AI124" s="4" t="s">
        <v>250</v>
      </c>
      <c r="AJ124" s="4" t="s">
        <v>55</v>
      </c>
      <c r="AK124" s="5">
        <v>45968</v>
      </c>
      <c r="AL124" s="6">
        <v>45968</v>
      </c>
      <c r="AM124" s="6">
        <v>46081</v>
      </c>
      <c r="AN124" s="4">
        <v>1</v>
      </c>
      <c r="AO124" s="6">
        <v>46332</v>
      </c>
      <c r="AP124" s="9">
        <v>250</v>
      </c>
      <c r="AQ124" s="9">
        <v>25</v>
      </c>
      <c r="AR124" s="9">
        <v>179.73</v>
      </c>
      <c r="AS124" s="9">
        <v>70.27</v>
      </c>
      <c r="AT124" s="4" t="s">
        <v>49</v>
      </c>
    </row>
    <row r="125" spans="1:46" ht="60" x14ac:dyDescent="0.25">
      <c r="A125" s="4">
        <v>40575434</v>
      </c>
      <c r="B125" s="4" t="str">
        <f>""</f>
        <v/>
      </c>
      <c r="C125" s="4" t="str">
        <f t="shared" si="14"/>
        <v>400100410002</v>
      </c>
      <c r="D125" s="4">
        <v>38</v>
      </c>
      <c r="E125" s="4" t="s">
        <v>132</v>
      </c>
      <c r="F125" s="4" t="s">
        <v>290</v>
      </c>
      <c r="G125" s="4" t="str">
        <f>"868671056270647"</f>
        <v>868671056270647</v>
      </c>
      <c r="H125" s="4" t="str">
        <f t="shared" si="15"/>
        <v>X3</v>
      </c>
      <c r="I125" s="4" t="str">
        <f t="shared" si="16"/>
        <v>POCO</v>
      </c>
      <c r="J125" s="4"/>
      <c r="K125" s="4"/>
      <c r="L125" s="9">
        <v>250</v>
      </c>
      <c r="M125" s="4"/>
      <c r="N125" s="4" t="s">
        <v>113</v>
      </c>
      <c r="O125" s="4" t="s">
        <v>291</v>
      </c>
      <c r="P125" s="4" t="s">
        <v>292</v>
      </c>
      <c r="Q125" s="4" t="s">
        <v>54</v>
      </c>
      <c r="R125" s="4" t="s">
        <v>55</v>
      </c>
      <c r="S125" s="4" t="s">
        <v>56</v>
      </c>
      <c r="T125" s="4">
        <v>6</v>
      </c>
      <c r="U125" s="4" t="s">
        <v>57</v>
      </c>
      <c r="V125" s="4">
        <v>97459</v>
      </c>
      <c r="W125" s="4" t="s">
        <v>58</v>
      </c>
      <c r="X125" s="4">
        <v>1717662512</v>
      </c>
      <c r="Y125" s="4" t="s">
        <v>71</v>
      </c>
      <c r="Z125" s="4" t="s">
        <v>55</v>
      </c>
      <c r="AA125" s="4" t="s">
        <v>116</v>
      </c>
      <c r="AB125" s="4" t="s">
        <v>61</v>
      </c>
      <c r="AC125" s="4" t="s">
        <v>73</v>
      </c>
      <c r="AD125" s="4" t="s">
        <v>62</v>
      </c>
      <c r="AE125" s="4" t="s">
        <v>55</v>
      </c>
      <c r="AF125" s="4" t="s">
        <v>55</v>
      </c>
      <c r="AG125" s="4" t="s">
        <v>297</v>
      </c>
      <c r="AH125" s="4">
        <v>0</v>
      </c>
      <c r="AI125" s="4" t="s">
        <v>250</v>
      </c>
      <c r="AJ125" s="4" t="s">
        <v>55</v>
      </c>
      <c r="AK125" s="5">
        <v>45968</v>
      </c>
      <c r="AL125" s="6">
        <v>45968</v>
      </c>
      <c r="AM125" s="6">
        <v>46081</v>
      </c>
      <c r="AN125" s="4">
        <v>1</v>
      </c>
      <c r="AO125" s="6">
        <v>46332</v>
      </c>
      <c r="AP125" s="9">
        <v>250</v>
      </c>
      <c r="AQ125" s="9">
        <v>25</v>
      </c>
      <c r="AR125" s="9">
        <v>179.73</v>
      </c>
      <c r="AS125" s="9">
        <v>70.27</v>
      </c>
      <c r="AT125" s="4" t="s">
        <v>49</v>
      </c>
    </row>
    <row r="126" spans="1:46" ht="60" x14ac:dyDescent="0.25">
      <c r="A126" s="4">
        <v>40565677</v>
      </c>
      <c r="B126" s="4" t="str">
        <f>""</f>
        <v/>
      </c>
      <c r="C126" s="4" t="str">
        <f t="shared" si="14"/>
        <v>400100410002</v>
      </c>
      <c r="D126" s="4">
        <v>30</v>
      </c>
      <c r="E126" s="4" t="s">
        <v>132</v>
      </c>
      <c r="F126" s="4" t="s">
        <v>290</v>
      </c>
      <c r="G126" s="4" t="str">
        <f>"860685051745625"</f>
        <v>860685051745625</v>
      </c>
      <c r="H126" s="4" t="str">
        <f t="shared" si="15"/>
        <v>X3</v>
      </c>
      <c r="I126" s="4" t="str">
        <f t="shared" si="16"/>
        <v>POCO</v>
      </c>
      <c r="J126" s="4"/>
      <c r="K126" s="4"/>
      <c r="L126" s="9">
        <v>250</v>
      </c>
      <c r="M126" s="4"/>
      <c r="N126" s="4" t="s">
        <v>113</v>
      </c>
      <c r="O126" s="4" t="s">
        <v>291</v>
      </c>
      <c r="P126" s="4" t="s">
        <v>292</v>
      </c>
      <c r="Q126" s="4" t="s">
        <v>54</v>
      </c>
      <c r="R126" s="4" t="s">
        <v>55</v>
      </c>
      <c r="S126" s="4" t="s">
        <v>56</v>
      </c>
      <c r="T126" s="4">
        <v>6</v>
      </c>
      <c r="U126" s="4" t="s">
        <v>57</v>
      </c>
      <c r="V126" s="4">
        <v>97459</v>
      </c>
      <c r="W126" s="4" t="s">
        <v>58</v>
      </c>
      <c r="X126" s="4">
        <v>1717662512</v>
      </c>
      <c r="Y126" s="4" t="s">
        <v>71</v>
      </c>
      <c r="Z126" s="4" t="s">
        <v>55</v>
      </c>
      <c r="AA126" s="4" t="s">
        <v>116</v>
      </c>
      <c r="AB126" s="4" t="s">
        <v>61</v>
      </c>
      <c r="AC126" s="4" t="s">
        <v>73</v>
      </c>
      <c r="AD126" s="4" t="s">
        <v>62</v>
      </c>
      <c r="AE126" s="4" t="s">
        <v>55</v>
      </c>
      <c r="AF126" s="4" t="s">
        <v>55</v>
      </c>
      <c r="AG126" s="4" t="s">
        <v>298</v>
      </c>
      <c r="AH126" s="4">
        <v>0</v>
      </c>
      <c r="AI126" s="4" t="s">
        <v>250</v>
      </c>
      <c r="AJ126" s="4" t="s">
        <v>55</v>
      </c>
      <c r="AK126" s="5">
        <v>45967</v>
      </c>
      <c r="AL126" s="6">
        <v>45967</v>
      </c>
      <c r="AM126" s="6">
        <v>46081</v>
      </c>
      <c r="AN126" s="4">
        <v>1</v>
      </c>
      <c r="AO126" s="6">
        <v>46331</v>
      </c>
      <c r="AP126" s="9">
        <v>250</v>
      </c>
      <c r="AQ126" s="9">
        <v>25</v>
      </c>
      <c r="AR126" s="9">
        <v>179.11</v>
      </c>
      <c r="AS126" s="9">
        <v>70.89</v>
      </c>
      <c r="AT126" s="4" t="s">
        <v>49</v>
      </c>
    </row>
    <row r="127" spans="1:46" ht="60" x14ac:dyDescent="0.25">
      <c r="A127" s="4">
        <v>40576115</v>
      </c>
      <c r="B127" s="4" t="str">
        <f>""</f>
        <v/>
      </c>
      <c r="C127" s="4" t="str">
        <f t="shared" si="14"/>
        <v>400100410002</v>
      </c>
      <c r="D127" s="4">
        <v>39</v>
      </c>
      <c r="E127" s="4" t="s">
        <v>132</v>
      </c>
      <c r="F127" s="4" t="s">
        <v>290</v>
      </c>
      <c r="G127" s="4" t="str">
        <f>"868671056268567"</f>
        <v>868671056268567</v>
      </c>
      <c r="H127" s="4" t="str">
        <f t="shared" si="15"/>
        <v>X3</v>
      </c>
      <c r="I127" s="4" t="str">
        <f t="shared" si="16"/>
        <v>POCO</v>
      </c>
      <c r="J127" s="4"/>
      <c r="K127" s="4"/>
      <c r="L127" s="9">
        <v>250</v>
      </c>
      <c r="M127" s="4"/>
      <c r="N127" s="4" t="s">
        <v>113</v>
      </c>
      <c r="O127" s="4" t="s">
        <v>291</v>
      </c>
      <c r="P127" s="4" t="s">
        <v>292</v>
      </c>
      <c r="Q127" s="4" t="s">
        <v>54</v>
      </c>
      <c r="R127" s="4" t="s">
        <v>55</v>
      </c>
      <c r="S127" s="4" t="s">
        <v>56</v>
      </c>
      <c r="T127" s="4">
        <v>6</v>
      </c>
      <c r="U127" s="4" t="s">
        <v>57</v>
      </c>
      <c r="V127" s="4">
        <v>97459</v>
      </c>
      <c r="W127" s="4" t="s">
        <v>58</v>
      </c>
      <c r="X127" s="4">
        <v>1717662512</v>
      </c>
      <c r="Y127" s="4" t="s">
        <v>71</v>
      </c>
      <c r="Z127" s="4" t="s">
        <v>55</v>
      </c>
      <c r="AA127" s="4" t="s">
        <v>116</v>
      </c>
      <c r="AB127" s="4" t="s">
        <v>61</v>
      </c>
      <c r="AC127" s="4" t="s">
        <v>73</v>
      </c>
      <c r="AD127" s="4" t="s">
        <v>62</v>
      </c>
      <c r="AE127" s="4" t="s">
        <v>55</v>
      </c>
      <c r="AF127" s="4" t="s">
        <v>55</v>
      </c>
      <c r="AG127" s="4" t="s">
        <v>301</v>
      </c>
      <c r="AH127" s="4">
        <v>0</v>
      </c>
      <c r="AI127" s="4" t="s">
        <v>250</v>
      </c>
      <c r="AJ127" s="4" t="s">
        <v>55</v>
      </c>
      <c r="AK127" s="5">
        <v>45968</v>
      </c>
      <c r="AL127" s="6">
        <v>45968</v>
      </c>
      <c r="AM127" s="6">
        <v>46081</v>
      </c>
      <c r="AN127" s="4">
        <v>1</v>
      </c>
      <c r="AO127" s="6">
        <v>46332</v>
      </c>
      <c r="AP127" s="9">
        <v>250</v>
      </c>
      <c r="AQ127" s="9">
        <v>25</v>
      </c>
      <c r="AR127" s="9">
        <v>179.73</v>
      </c>
      <c r="AS127" s="9">
        <v>70.27</v>
      </c>
      <c r="AT127" s="4" t="s">
        <v>49</v>
      </c>
    </row>
    <row r="128" spans="1:46" ht="60" x14ac:dyDescent="0.25">
      <c r="A128" s="4">
        <v>40565429</v>
      </c>
      <c r="B128" s="4" t="str">
        <f>""</f>
        <v/>
      </c>
      <c r="C128" s="4" t="str">
        <f t="shared" si="14"/>
        <v>400100410002</v>
      </c>
      <c r="D128" s="4">
        <v>28</v>
      </c>
      <c r="E128" s="4" t="s">
        <v>132</v>
      </c>
      <c r="F128" s="4" t="s">
        <v>290</v>
      </c>
      <c r="G128" s="4" t="str">
        <f>"40565429"</f>
        <v>40565429</v>
      </c>
      <c r="H128" s="4" t="str">
        <f t="shared" si="15"/>
        <v>X3</v>
      </c>
      <c r="I128" s="4" t="str">
        <f t="shared" si="16"/>
        <v>POCO</v>
      </c>
      <c r="J128" s="4"/>
      <c r="K128" s="4"/>
      <c r="L128" s="9">
        <v>250</v>
      </c>
      <c r="M128" s="4"/>
      <c r="N128" s="4" t="s">
        <v>113</v>
      </c>
      <c r="O128" s="4" t="s">
        <v>291</v>
      </c>
      <c r="P128" s="4" t="s">
        <v>292</v>
      </c>
      <c r="Q128" s="4" t="s">
        <v>54</v>
      </c>
      <c r="R128" s="4" t="s">
        <v>55</v>
      </c>
      <c r="S128" s="4" t="s">
        <v>56</v>
      </c>
      <c r="T128" s="4">
        <v>6</v>
      </c>
      <c r="U128" s="4" t="s">
        <v>57</v>
      </c>
      <c r="V128" s="4">
        <v>97459</v>
      </c>
      <c r="W128" s="4" t="s">
        <v>58</v>
      </c>
      <c r="X128" s="4">
        <v>1717662512</v>
      </c>
      <c r="Y128" s="4" t="s">
        <v>71</v>
      </c>
      <c r="Z128" s="4" t="s">
        <v>55</v>
      </c>
      <c r="AA128" s="4" t="s">
        <v>116</v>
      </c>
      <c r="AB128" s="4" t="s">
        <v>61</v>
      </c>
      <c r="AC128" s="4" t="s">
        <v>73</v>
      </c>
      <c r="AD128" s="4" t="s">
        <v>62</v>
      </c>
      <c r="AE128" s="4" t="s">
        <v>55</v>
      </c>
      <c r="AF128" s="4" t="s">
        <v>55</v>
      </c>
      <c r="AG128" s="4" t="s">
        <v>302</v>
      </c>
      <c r="AH128" s="4">
        <v>0</v>
      </c>
      <c r="AI128" s="4" t="s">
        <v>250</v>
      </c>
      <c r="AJ128" s="4" t="s">
        <v>55</v>
      </c>
      <c r="AK128" s="5">
        <v>45967</v>
      </c>
      <c r="AL128" s="6">
        <v>45967</v>
      </c>
      <c r="AM128" s="6">
        <v>46081</v>
      </c>
      <c r="AN128" s="4">
        <v>1</v>
      </c>
      <c r="AO128" s="6">
        <v>46331</v>
      </c>
      <c r="AP128" s="9">
        <v>250</v>
      </c>
      <c r="AQ128" s="9">
        <v>25</v>
      </c>
      <c r="AR128" s="9">
        <v>179.11</v>
      </c>
      <c r="AS128" s="9">
        <v>70.89</v>
      </c>
      <c r="AT128" s="4" t="s">
        <v>49</v>
      </c>
    </row>
    <row r="129" spans="1:46" ht="75" hidden="1" x14ac:dyDescent="0.25">
      <c r="A129" s="4">
        <v>41027642</v>
      </c>
      <c r="B129" s="4" t="str">
        <f>""</f>
        <v/>
      </c>
      <c r="C129" s="4" t="str">
        <f>"401101010001"</f>
        <v>401101010001</v>
      </c>
      <c r="D129" s="4">
        <v>1</v>
      </c>
      <c r="E129" s="4" t="s">
        <v>132</v>
      </c>
      <c r="F129" s="4" t="s">
        <v>303</v>
      </c>
      <c r="G129" s="4" t="str">
        <f>"41027642"</f>
        <v>41027642</v>
      </c>
      <c r="H129" s="4" t="str">
        <f>""</f>
        <v/>
      </c>
      <c r="I129" s="4" t="str">
        <f>""</f>
        <v/>
      </c>
      <c r="J129" s="4"/>
      <c r="K129" s="4"/>
      <c r="L129" s="9">
        <v>3615</v>
      </c>
      <c r="M129" s="4"/>
      <c r="N129" s="4" t="s">
        <v>51</v>
      </c>
      <c r="O129" s="4" t="s">
        <v>255</v>
      </c>
      <c r="P129" s="4" t="s">
        <v>304</v>
      </c>
      <c r="Q129" s="4" t="s">
        <v>54</v>
      </c>
      <c r="R129" s="4" t="s">
        <v>55</v>
      </c>
      <c r="S129" s="4" t="s">
        <v>56</v>
      </c>
      <c r="T129" s="4">
        <v>6</v>
      </c>
      <c r="U129" s="4" t="s">
        <v>57</v>
      </c>
      <c r="V129" s="4">
        <v>97459</v>
      </c>
      <c r="W129" s="4" t="s">
        <v>58</v>
      </c>
      <c r="X129" s="4">
        <v>1717662512</v>
      </c>
      <c r="Y129" s="4" t="s">
        <v>71</v>
      </c>
      <c r="Z129" s="4" t="s">
        <v>55</v>
      </c>
      <c r="AA129" s="4" t="s">
        <v>116</v>
      </c>
      <c r="AB129" s="4" t="s">
        <v>61</v>
      </c>
      <c r="AC129" s="4" t="s">
        <v>73</v>
      </c>
      <c r="AD129" s="4" t="s">
        <v>62</v>
      </c>
      <c r="AE129" s="4" t="s">
        <v>55</v>
      </c>
      <c r="AF129" s="4" t="s">
        <v>55</v>
      </c>
      <c r="AG129" s="4" t="s">
        <v>305</v>
      </c>
      <c r="AH129" s="4">
        <v>0</v>
      </c>
      <c r="AI129" s="4" t="s">
        <v>250</v>
      </c>
      <c r="AJ129" s="4" t="s">
        <v>55</v>
      </c>
      <c r="AK129" s="5">
        <v>46077</v>
      </c>
      <c r="AL129" s="6">
        <v>46077</v>
      </c>
      <c r="AM129" s="6">
        <v>46081</v>
      </c>
      <c r="AN129" s="4">
        <v>7</v>
      </c>
      <c r="AO129" s="6">
        <v>48631</v>
      </c>
      <c r="AP129" s="9">
        <v>3615</v>
      </c>
      <c r="AQ129" s="9">
        <v>361.5</v>
      </c>
      <c r="AR129" s="9">
        <v>3608.63</v>
      </c>
      <c r="AS129" s="9">
        <v>6.37</v>
      </c>
      <c r="AT129" s="4" t="s">
        <v>49</v>
      </c>
    </row>
    <row r="130" spans="1:46" ht="90" hidden="1" x14ac:dyDescent="0.25">
      <c r="A130" s="4">
        <v>40135622</v>
      </c>
      <c r="B130" s="4" t="str">
        <f>""</f>
        <v/>
      </c>
      <c r="C130" s="4" t="str">
        <f>"700100180001"</f>
        <v>700100180001</v>
      </c>
      <c r="D130" s="4">
        <v>5</v>
      </c>
      <c r="E130" s="4" t="s">
        <v>132</v>
      </c>
      <c r="F130" s="4" t="s">
        <v>309</v>
      </c>
      <c r="G130" s="4" t="str">
        <f>"40135622"</f>
        <v>40135622</v>
      </c>
      <c r="H130" s="4" t="str">
        <f>""</f>
        <v/>
      </c>
      <c r="I130" s="4" t="str">
        <f>""</f>
        <v/>
      </c>
      <c r="J130" s="4"/>
      <c r="K130" s="4"/>
      <c r="L130" s="9">
        <v>157</v>
      </c>
      <c r="M130" s="4"/>
      <c r="N130" s="4" t="s">
        <v>310</v>
      </c>
      <c r="O130" s="4" t="s">
        <v>255</v>
      </c>
      <c r="P130" s="4" t="s">
        <v>311</v>
      </c>
      <c r="Q130" s="4" t="s">
        <v>54</v>
      </c>
      <c r="R130" s="4" t="s">
        <v>55</v>
      </c>
      <c r="S130" s="4" t="s">
        <v>56</v>
      </c>
      <c r="T130" s="4">
        <v>6</v>
      </c>
      <c r="U130" s="4" t="s">
        <v>57</v>
      </c>
      <c r="V130" s="4">
        <v>97459</v>
      </c>
      <c r="W130" s="4" t="s">
        <v>58</v>
      </c>
      <c r="X130" s="4">
        <v>1714641105</v>
      </c>
      <c r="Y130" s="4" t="s">
        <v>89</v>
      </c>
      <c r="Z130" s="4" t="s">
        <v>55</v>
      </c>
      <c r="AA130" s="4" t="s">
        <v>116</v>
      </c>
      <c r="AB130" s="4" t="s">
        <v>61</v>
      </c>
      <c r="AC130" s="4" t="s">
        <v>73</v>
      </c>
      <c r="AD130" s="4" t="s">
        <v>62</v>
      </c>
      <c r="AE130" s="4" t="s">
        <v>55</v>
      </c>
      <c r="AF130" s="4" t="s">
        <v>55</v>
      </c>
      <c r="AG130" s="4" t="s">
        <v>257</v>
      </c>
      <c r="AH130" s="4">
        <v>0</v>
      </c>
      <c r="AI130" s="4" t="s">
        <v>312</v>
      </c>
      <c r="AJ130" s="4" t="s">
        <v>55</v>
      </c>
      <c r="AK130" s="5">
        <v>45855</v>
      </c>
      <c r="AL130" s="6">
        <v>45855</v>
      </c>
      <c r="AM130" s="6">
        <v>46081</v>
      </c>
      <c r="AN130" s="4">
        <v>3</v>
      </c>
      <c r="AO130" s="6">
        <v>46949</v>
      </c>
      <c r="AP130" s="9">
        <v>157</v>
      </c>
      <c r="AQ130" s="9">
        <v>15.7</v>
      </c>
      <c r="AR130" s="9">
        <v>127.71</v>
      </c>
      <c r="AS130" s="9">
        <v>29.29</v>
      </c>
      <c r="AT130" s="4" t="s">
        <v>49</v>
      </c>
    </row>
    <row r="131" spans="1:46" ht="30" hidden="1" x14ac:dyDescent="0.25">
      <c r="A131" s="4">
        <v>35650854</v>
      </c>
      <c r="B131" s="4" t="str">
        <f>"17784915"</f>
        <v>17784915</v>
      </c>
      <c r="C131" s="4" t="str">
        <f>"700100070001"</f>
        <v>700100070001</v>
      </c>
      <c r="D131" s="4">
        <v>425297</v>
      </c>
      <c r="E131" s="4" t="s">
        <v>132</v>
      </c>
      <c r="F131" s="4" t="s">
        <v>316</v>
      </c>
      <c r="G131" s="4" t="str">
        <f>"102BYD2"</f>
        <v>102BYD2</v>
      </c>
      <c r="H131" s="4" t="str">
        <f>"102BYD2"</f>
        <v>102BYD2</v>
      </c>
      <c r="I131" s="4" t="str">
        <f>"QUASAD"</f>
        <v>QUASAD</v>
      </c>
      <c r="J131" s="4" t="s">
        <v>49</v>
      </c>
      <c r="K131" s="4"/>
      <c r="L131" s="9">
        <v>1085.17</v>
      </c>
      <c r="M131" s="4" t="s">
        <v>49</v>
      </c>
      <c r="N131" s="4" t="s">
        <v>113</v>
      </c>
      <c r="O131" s="4" t="s">
        <v>318</v>
      </c>
      <c r="P131" s="4" t="s">
        <v>135</v>
      </c>
      <c r="Q131" s="4" t="s">
        <v>54</v>
      </c>
      <c r="R131" s="4" t="s">
        <v>55</v>
      </c>
      <c r="S131" s="4" t="s">
        <v>56</v>
      </c>
      <c r="T131" s="4">
        <v>6</v>
      </c>
      <c r="U131" s="4" t="s">
        <v>57</v>
      </c>
      <c r="V131" s="4">
        <v>97459</v>
      </c>
      <c r="W131" s="4" t="s">
        <v>58</v>
      </c>
      <c r="X131" s="4">
        <v>1714641105</v>
      </c>
      <c r="Y131" s="4" t="s">
        <v>89</v>
      </c>
      <c r="Z131" s="4" t="s">
        <v>55</v>
      </c>
      <c r="AA131" s="4" t="s">
        <v>136</v>
      </c>
      <c r="AB131" s="4" t="s">
        <v>137</v>
      </c>
      <c r="AC131" s="4" t="s">
        <v>73</v>
      </c>
      <c r="AD131" s="4" t="s">
        <v>73</v>
      </c>
      <c r="AE131" s="4" t="s">
        <v>73</v>
      </c>
      <c r="AF131" s="4" t="s">
        <v>55</v>
      </c>
      <c r="AG131" s="4" t="s">
        <v>316</v>
      </c>
      <c r="AH131" s="4">
        <v>840107</v>
      </c>
      <c r="AI131" s="4" t="s">
        <v>312</v>
      </c>
      <c r="AJ131" s="4" t="s">
        <v>55</v>
      </c>
      <c r="AK131" s="5">
        <v>44874.711168981485</v>
      </c>
      <c r="AL131" s="6">
        <v>42933</v>
      </c>
      <c r="AM131" s="6">
        <v>44027</v>
      </c>
      <c r="AN131" s="4">
        <v>3</v>
      </c>
      <c r="AO131" s="6">
        <v>44027</v>
      </c>
      <c r="AP131" s="9">
        <v>1085.17</v>
      </c>
      <c r="AQ131" s="9">
        <v>108.52</v>
      </c>
      <c r="AR131" s="9">
        <v>108.52</v>
      </c>
      <c r="AS131" s="9">
        <v>976.65</v>
      </c>
      <c r="AT131" s="4" t="s">
        <v>49</v>
      </c>
    </row>
    <row r="132" spans="1:46" ht="30" hidden="1" x14ac:dyDescent="0.25">
      <c r="A132" s="4">
        <v>35650855</v>
      </c>
      <c r="B132" s="4" t="str">
        <f>"17784916"</f>
        <v>17784916</v>
      </c>
      <c r="C132" s="4" t="str">
        <f>"700100070001"</f>
        <v>700100070001</v>
      </c>
      <c r="D132" s="4">
        <v>425297</v>
      </c>
      <c r="E132" s="4" t="s">
        <v>132</v>
      </c>
      <c r="F132" s="4" t="s">
        <v>316</v>
      </c>
      <c r="G132" s="4" t="str">
        <f>"8T1BYD2"</f>
        <v>8T1BYD2</v>
      </c>
      <c r="H132" s="4" t="str">
        <f>"8T1BYD2"</f>
        <v>8T1BYD2</v>
      </c>
      <c r="I132" s="4" t="str">
        <f>"QUASAD"</f>
        <v>QUASAD</v>
      </c>
      <c r="J132" s="4" t="s">
        <v>49</v>
      </c>
      <c r="K132" s="4"/>
      <c r="L132" s="9">
        <v>1085.17</v>
      </c>
      <c r="M132" s="4" t="s">
        <v>49</v>
      </c>
      <c r="N132" s="4" t="s">
        <v>113</v>
      </c>
      <c r="O132" s="4" t="s">
        <v>318</v>
      </c>
      <c r="P132" s="4" t="s">
        <v>135</v>
      </c>
      <c r="Q132" s="4" t="s">
        <v>54</v>
      </c>
      <c r="R132" s="4" t="s">
        <v>55</v>
      </c>
      <c r="S132" s="4" t="s">
        <v>56</v>
      </c>
      <c r="T132" s="4">
        <v>6</v>
      </c>
      <c r="U132" s="4" t="s">
        <v>57</v>
      </c>
      <c r="V132" s="4">
        <v>97459</v>
      </c>
      <c r="W132" s="4" t="s">
        <v>58</v>
      </c>
      <c r="X132" s="4">
        <v>1711995694</v>
      </c>
      <c r="Y132" s="4" t="s">
        <v>169</v>
      </c>
      <c r="Z132" s="4" t="s">
        <v>55</v>
      </c>
      <c r="AA132" s="4" t="s">
        <v>136</v>
      </c>
      <c r="AB132" s="4" t="s">
        <v>137</v>
      </c>
      <c r="AC132" s="4" t="s">
        <v>73</v>
      </c>
      <c r="AD132" s="4" t="s">
        <v>73</v>
      </c>
      <c r="AE132" s="4" t="s">
        <v>73</v>
      </c>
      <c r="AF132" s="4" t="s">
        <v>55</v>
      </c>
      <c r="AG132" s="4" t="s">
        <v>316</v>
      </c>
      <c r="AH132" s="4">
        <v>840107</v>
      </c>
      <c r="AI132" s="4" t="s">
        <v>312</v>
      </c>
      <c r="AJ132" s="4" t="s">
        <v>55</v>
      </c>
      <c r="AK132" s="5">
        <v>44874.711168981485</v>
      </c>
      <c r="AL132" s="6">
        <v>42933</v>
      </c>
      <c r="AM132" s="6">
        <v>44027</v>
      </c>
      <c r="AN132" s="4">
        <v>3</v>
      </c>
      <c r="AO132" s="6">
        <v>44027</v>
      </c>
      <c r="AP132" s="9">
        <v>1085.17</v>
      </c>
      <c r="AQ132" s="9">
        <v>108.52</v>
      </c>
      <c r="AR132" s="9">
        <v>108.52</v>
      </c>
      <c r="AS132" s="9">
        <v>976.65</v>
      </c>
      <c r="AT132" s="4" t="s">
        <v>49</v>
      </c>
    </row>
    <row r="133" spans="1:46" ht="60" hidden="1" x14ac:dyDescent="0.25">
      <c r="A133" s="4">
        <v>35650870</v>
      </c>
      <c r="B133" s="4" t="str">
        <f>"19664523"</f>
        <v>19664523</v>
      </c>
      <c r="C133" s="4" t="str">
        <f>"700100060001"</f>
        <v>700100060001</v>
      </c>
      <c r="D133" s="4">
        <v>425297</v>
      </c>
      <c r="E133" s="4" t="s">
        <v>132</v>
      </c>
      <c r="F133" s="4" t="s">
        <v>321</v>
      </c>
      <c r="G133" s="4" t="str">
        <f>"CO25T03UGG77"</f>
        <v>CO25T03UGG77</v>
      </c>
      <c r="H133" s="4" t="str">
        <f>"CO25T03UGG77"</f>
        <v>CO25T03UGG77</v>
      </c>
      <c r="I133" s="4" t="str">
        <f>"APPLE SERIAL C02ST03UGG77"</f>
        <v>APPLE SERIAL C02ST03UGG77</v>
      </c>
      <c r="J133" s="4" t="s">
        <v>49</v>
      </c>
      <c r="K133" s="4"/>
      <c r="L133" s="9">
        <v>1848</v>
      </c>
      <c r="M133" s="4" t="s">
        <v>49</v>
      </c>
      <c r="N133" s="4" t="s">
        <v>322</v>
      </c>
      <c r="O133" s="4" t="s">
        <v>318</v>
      </c>
      <c r="P133" s="4" t="s">
        <v>135</v>
      </c>
      <c r="Q133" s="4" t="s">
        <v>54</v>
      </c>
      <c r="R133" s="4" t="s">
        <v>55</v>
      </c>
      <c r="S133" s="4" t="s">
        <v>56</v>
      </c>
      <c r="T133" s="4">
        <v>6</v>
      </c>
      <c r="U133" s="4" t="s">
        <v>57</v>
      </c>
      <c r="V133" s="4">
        <v>97459</v>
      </c>
      <c r="W133" s="4" t="s">
        <v>58</v>
      </c>
      <c r="X133" s="4">
        <v>1717662512</v>
      </c>
      <c r="Y133" s="4" t="s">
        <v>71</v>
      </c>
      <c r="Z133" s="4" t="s">
        <v>55</v>
      </c>
      <c r="AA133" s="4" t="s">
        <v>136</v>
      </c>
      <c r="AB133" s="4" t="s">
        <v>137</v>
      </c>
      <c r="AC133" s="4" t="s">
        <v>73</v>
      </c>
      <c r="AD133" s="4" t="s">
        <v>73</v>
      </c>
      <c r="AE133" s="4" t="s">
        <v>73</v>
      </c>
      <c r="AF133" s="4" t="s">
        <v>55</v>
      </c>
      <c r="AG133" s="4" t="s">
        <v>321</v>
      </c>
      <c r="AH133" s="4">
        <v>840107</v>
      </c>
      <c r="AI133" s="4" t="s">
        <v>312</v>
      </c>
      <c r="AJ133" s="4" t="s">
        <v>55</v>
      </c>
      <c r="AK133" s="5">
        <v>44874.711168981485</v>
      </c>
      <c r="AL133" s="6">
        <v>43059</v>
      </c>
      <c r="AM133" s="6">
        <v>44153</v>
      </c>
      <c r="AN133" s="4">
        <v>3</v>
      </c>
      <c r="AO133" s="6">
        <v>44153</v>
      </c>
      <c r="AP133" s="9">
        <v>1848</v>
      </c>
      <c r="AQ133" s="9">
        <v>184.8</v>
      </c>
      <c r="AR133" s="9">
        <v>184.8</v>
      </c>
      <c r="AS133" s="9">
        <v>1663.2</v>
      </c>
      <c r="AT133" s="4" t="s">
        <v>49</v>
      </c>
    </row>
    <row r="134" spans="1:46" ht="75" hidden="1" x14ac:dyDescent="0.25">
      <c r="A134" s="4">
        <v>35650871</v>
      </c>
      <c r="B134" s="4" t="str">
        <f>"19664524"</f>
        <v>19664524</v>
      </c>
      <c r="C134" s="4" t="str">
        <f>"700100450001"</f>
        <v>700100450001</v>
      </c>
      <c r="D134" s="4">
        <v>425297</v>
      </c>
      <c r="E134" s="4" t="s">
        <v>132</v>
      </c>
      <c r="F134" s="4" t="s">
        <v>325</v>
      </c>
      <c r="G134" s="4" t="str">
        <f>"FOT646400CEG06GAB"</f>
        <v>FOT646400CEG06GAB</v>
      </c>
      <c r="H134" s="4" t="str">
        <f>"TECLADO MAGIC 2 / INALAMBRICO"</f>
        <v>TECLADO MAGIC 2 / INALAMBRICO</v>
      </c>
      <c r="I134" s="4" t="str">
        <f>"APPLE SERIAL NUMBER FOT646400CEGD6GAB"</f>
        <v>APPLE SERIAL NUMBER FOT646400CEGD6GAB</v>
      </c>
      <c r="J134" s="4" t="s">
        <v>49</v>
      </c>
      <c r="K134" s="4"/>
      <c r="L134" s="9">
        <v>95.2</v>
      </c>
      <c r="M134" s="4" t="s">
        <v>49</v>
      </c>
      <c r="N134" s="4" t="s">
        <v>51</v>
      </c>
      <c r="O134" s="4" t="s">
        <v>318</v>
      </c>
      <c r="P134" s="4" t="s">
        <v>135</v>
      </c>
      <c r="Q134" s="4" t="s">
        <v>54</v>
      </c>
      <c r="R134" s="4" t="s">
        <v>55</v>
      </c>
      <c r="S134" s="4" t="s">
        <v>56</v>
      </c>
      <c r="T134" s="4">
        <v>6</v>
      </c>
      <c r="U134" s="4" t="s">
        <v>57</v>
      </c>
      <c r="V134" s="4">
        <v>97459</v>
      </c>
      <c r="W134" s="4" t="s">
        <v>58</v>
      </c>
      <c r="X134" s="4">
        <v>1717662512</v>
      </c>
      <c r="Y134" s="4" t="s">
        <v>71</v>
      </c>
      <c r="Z134" s="4" t="s">
        <v>55</v>
      </c>
      <c r="AA134" s="4" t="s">
        <v>136</v>
      </c>
      <c r="AB134" s="4" t="s">
        <v>137</v>
      </c>
      <c r="AC134" s="4" t="s">
        <v>73</v>
      </c>
      <c r="AD134" s="4" t="s">
        <v>73</v>
      </c>
      <c r="AE134" s="4" t="s">
        <v>73</v>
      </c>
      <c r="AF134" s="4" t="s">
        <v>55</v>
      </c>
      <c r="AG134" s="4" t="s">
        <v>327</v>
      </c>
      <c r="AH134" s="4">
        <v>0</v>
      </c>
      <c r="AI134" s="4" t="s">
        <v>312</v>
      </c>
      <c r="AJ134" s="4" t="s">
        <v>55</v>
      </c>
      <c r="AK134" s="5">
        <v>44874.711168981485</v>
      </c>
      <c r="AL134" s="6">
        <v>43059</v>
      </c>
      <c r="AM134" s="6">
        <v>44153</v>
      </c>
      <c r="AN134" s="4">
        <v>3</v>
      </c>
      <c r="AO134" s="6">
        <v>44153</v>
      </c>
      <c r="AP134" s="9">
        <v>95.2</v>
      </c>
      <c r="AQ134" s="9">
        <v>9.52</v>
      </c>
      <c r="AR134" s="9">
        <v>9.52</v>
      </c>
      <c r="AS134" s="9">
        <v>85.68</v>
      </c>
      <c r="AT134" s="4" t="s">
        <v>49</v>
      </c>
    </row>
    <row r="135" spans="1:46" ht="60" hidden="1" x14ac:dyDescent="0.25">
      <c r="A135" s="4">
        <v>35650872</v>
      </c>
      <c r="B135" s="4" t="str">
        <f>"19664525"</f>
        <v>19664525</v>
      </c>
      <c r="C135" s="4" t="str">
        <f>"700100450001"</f>
        <v>700100450001</v>
      </c>
      <c r="D135" s="4">
        <v>425297</v>
      </c>
      <c r="E135" s="4" t="s">
        <v>132</v>
      </c>
      <c r="F135" s="4" t="s">
        <v>325</v>
      </c>
      <c r="G135" s="4" t="str">
        <f>"CC264761RBQGRHQAC"</f>
        <v>CC264761RBQGRHQAC</v>
      </c>
      <c r="H135" s="4" t="str">
        <f>"MAGIC 2/ COLOR BLANCO INALAMBRICO"</f>
        <v>MAGIC 2/ COLOR BLANCO INALAMBRICO</v>
      </c>
      <c r="I135" s="4" t="str">
        <f>"APPLE SERIAL CC264761RBQGRHQAC"</f>
        <v>APPLE SERIAL CC264761RBQGRHQAC</v>
      </c>
      <c r="J135" s="4" t="s">
        <v>49</v>
      </c>
      <c r="K135" s="4"/>
      <c r="L135" s="9">
        <v>72.8</v>
      </c>
      <c r="M135" s="4" t="s">
        <v>49</v>
      </c>
      <c r="N135" s="4" t="s">
        <v>51</v>
      </c>
      <c r="O135" s="4" t="s">
        <v>318</v>
      </c>
      <c r="P135" s="4" t="s">
        <v>135</v>
      </c>
      <c r="Q135" s="4" t="s">
        <v>54</v>
      </c>
      <c r="R135" s="4" t="s">
        <v>55</v>
      </c>
      <c r="S135" s="4" t="s">
        <v>56</v>
      </c>
      <c r="T135" s="4">
        <v>6</v>
      </c>
      <c r="U135" s="4" t="s">
        <v>57</v>
      </c>
      <c r="V135" s="4">
        <v>97459</v>
      </c>
      <c r="W135" s="4" t="s">
        <v>58</v>
      </c>
      <c r="X135" s="4">
        <v>1717662512</v>
      </c>
      <c r="Y135" s="4" t="s">
        <v>71</v>
      </c>
      <c r="Z135" s="4" t="s">
        <v>55</v>
      </c>
      <c r="AA135" s="4" t="s">
        <v>136</v>
      </c>
      <c r="AB135" s="4" t="s">
        <v>137</v>
      </c>
      <c r="AC135" s="4" t="s">
        <v>73</v>
      </c>
      <c r="AD135" s="4" t="s">
        <v>73</v>
      </c>
      <c r="AE135" s="4" t="s">
        <v>73</v>
      </c>
      <c r="AF135" s="4" t="s">
        <v>55</v>
      </c>
      <c r="AG135" s="4" t="s">
        <v>325</v>
      </c>
      <c r="AH135" s="4">
        <v>0</v>
      </c>
      <c r="AI135" s="4" t="s">
        <v>312</v>
      </c>
      <c r="AJ135" s="4" t="s">
        <v>55</v>
      </c>
      <c r="AK135" s="5">
        <v>44874.711168981485</v>
      </c>
      <c r="AL135" s="6">
        <v>43059</v>
      </c>
      <c r="AM135" s="6">
        <v>44153</v>
      </c>
      <c r="AN135" s="4">
        <v>3</v>
      </c>
      <c r="AO135" s="6">
        <v>44153</v>
      </c>
      <c r="AP135" s="9">
        <v>72.8</v>
      </c>
      <c r="AQ135" s="9">
        <v>7.28</v>
      </c>
      <c r="AR135" s="9">
        <v>7.28</v>
      </c>
      <c r="AS135" s="9">
        <v>65.52</v>
      </c>
      <c r="AT135" s="4" t="s">
        <v>49</v>
      </c>
    </row>
    <row r="136" spans="1:46" ht="60" hidden="1" x14ac:dyDescent="0.25">
      <c r="A136" s="4">
        <v>35650873</v>
      </c>
      <c r="B136" s="4" t="str">
        <f>"19685084"</f>
        <v>19685084</v>
      </c>
      <c r="C136" s="4" t="str">
        <f>"700100060001"</f>
        <v>700100060001</v>
      </c>
      <c r="D136" s="4">
        <v>425297</v>
      </c>
      <c r="E136" s="4" t="s">
        <v>132</v>
      </c>
      <c r="F136" s="4" t="s">
        <v>321</v>
      </c>
      <c r="G136" s="4" t="str">
        <f>"704NTTQ68817"</f>
        <v>704NTTQ68817</v>
      </c>
      <c r="H136" s="4" t="str">
        <f>"704NTTQ68817"</f>
        <v>704NTTQ68817</v>
      </c>
      <c r="I136" s="4" t="str">
        <f>"HURRICANE / CAPACIDAD 1TB"</f>
        <v>HURRICANE / CAPACIDAD 1TB</v>
      </c>
      <c r="J136" s="4" t="s">
        <v>49</v>
      </c>
      <c r="K136" s="4"/>
      <c r="L136" s="9">
        <v>1163.68</v>
      </c>
      <c r="M136" s="4" t="s">
        <v>49</v>
      </c>
      <c r="N136" s="4" t="s">
        <v>113</v>
      </c>
      <c r="O136" s="4" t="s">
        <v>318</v>
      </c>
      <c r="P136" s="4" t="s">
        <v>135</v>
      </c>
      <c r="Q136" s="4" t="s">
        <v>54</v>
      </c>
      <c r="R136" s="4" t="s">
        <v>55</v>
      </c>
      <c r="S136" s="4" t="s">
        <v>56</v>
      </c>
      <c r="T136" s="4">
        <v>6</v>
      </c>
      <c r="U136" s="4" t="s">
        <v>57</v>
      </c>
      <c r="V136" s="4">
        <v>97459</v>
      </c>
      <c r="W136" s="4" t="s">
        <v>58</v>
      </c>
      <c r="X136" s="4">
        <v>401265012</v>
      </c>
      <c r="Y136" s="4" t="s">
        <v>130</v>
      </c>
      <c r="Z136" s="4" t="s">
        <v>55</v>
      </c>
      <c r="AA136" s="4" t="s">
        <v>136</v>
      </c>
      <c r="AB136" s="4" t="s">
        <v>137</v>
      </c>
      <c r="AC136" s="4" t="s">
        <v>73</v>
      </c>
      <c r="AD136" s="4" t="s">
        <v>73</v>
      </c>
      <c r="AE136" s="4" t="s">
        <v>73</v>
      </c>
      <c r="AF136" s="4" t="s">
        <v>55</v>
      </c>
      <c r="AG136" s="4" t="s">
        <v>321</v>
      </c>
      <c r="AH136" s="4">
        <v>840107</v>
      </c>
      <c r="AI136" s="4" t="s">
        <v>312</v>
      </c>
      <c r="AJ136" s="4" t="s">
        <v>55</v>
      </c>
      <c r="AK136" s="5">
        <v>44874.711168981485</v>
      </c>
      <c r="AL136" s="6">
        <v>43060</v>
      </c>
      <c r="AM136" s="6">
        <v>44154</v>
      </c>
      <c r="AN136" s="4">
        <v>3</v>
      </c>
      <c r="AO136" s="6">
        <v>44154</v>
      </c>
      <c r="AP136" s="9">
        <v>1163.68</v>
      </c>
      <c r="AQ136" s="9">
        <v>116.37</v>
      </c>
      <c r="AR136" s="9">
        <v>116.37</v>
      </c>
      <c r="AS136" s="9">
        <v>1047.31</v>
      </c>
      <c r="AT136" s="4" t="s">
        <v>49</v>
      </c>
    </row>
    <row r="137" spans="1:46" ht="60" hidden="1" x14ac:dyDescent="0.25">
      <c r="A137" s="4">
        <v>35650874</v>
      </c>
      <c r="B137" s="4" t="str">
        <f>"19685085"</f>
        <v>19685085</v>
      </c>
      <c r="C137" s="4" t="str">
        <f>"700100060001"</f>
        <v>700100060001</v>
      </c>
      <c r="D137" s="4">
        <v>425297</v>
      </c>
      <c r="E137" s="4" t="s">
        <v>132</v>
      </c>
      <c r="F137" s="4" t="s">
        <v>321</v>
      </c>
      <c r="G137" s="4" t="str">
        <f>"704NTTQ68836"</f>
        <v>704NTTQ68836</v>
      </c>
      <c r="H137" s="4" t="str">
        <f>"704NTTQ68836"</f>
        <v>704NTTQ68836</v>
      </c>
      <c r="I137" s="4" t="str">
        <f>"HURRICANE / CAPACIDAD 1TB"</f>
        <v>HURRICANE / CAPACIDAD 1TB</v>
      </c>
      <c r="J137" s="4" t="s">
        <v>49</v>
      </c>
      <c r="K137" s="4"/>
      <c r="L137" s="9">
        <v>1163.68</v>
      </c>
      <c r="M137" s="4" t="s">
        <v>49</v>
      </c>
      <c r="N137" s="4" t="s">
        <v>113</v>
      </c>
      <c r="O137" s="4" t="s">
        <v>318</v>
      </c>
      <c r="P137" s="4" t="s">
        <v>135</v>
      </c>
      <c r="Q137" s="4" t="s">
        <v>54</v>
      </c>
      <c r="R137" s="4" t="s">
        <v>55</v>
      </c>
      <c r="S137" s="4" t="s">
        <v>56</v>
      </c>
      <c r="T137" s="4">
        <v>6</v>
      </c>
      <c r="U137" s="4" t="s">
        <v>57</v>
      </c>
      <c r="V137" s="4">
        <v>97459</v>
      </c>
      <c r="W137" s="4" t="s">
        <v>58</v>
      </c>
      <c r="X137" s="4">
        <v>1717662512</v>
      </c>
      <c r="Y137" s="4" t="s">
        <v>71</v>
      </c>
      <c r="Z137" s="4" t="s">
        <v>55</v>
      </c>
      <c r="AA137" s="4" t="s">
        <v>136</v>
      </c>
      <c r="AB137" s="4" t="s">
        <v>137</v>
      </c>
      <c r="AC137" s="4" t="s">
        <v>73</v>
      </c>
      <c r="AD137" s="4" t="s">
        <v>73</v>
      </c>
      <c r="AE137" s="4" t="s">
        <v>73</v>
      </c>
      <c r="AF137" s="4" t="s">
        <v>55</v>
      </c>
      <c r="AG137" s="4" t="s">
        <v>321</v>
      </c>
      <c r="AH137" s="4">
        <v>840107</v>
      </c>
      <c r="AI137" s="4" t="s">
        <v>312</v>
      </c>
      <c r="AJ137" s="4" t="s">
        <v>55</v>
      </c>
      <c r="AK137" s="5">
        <v>44874.711168981485</v>
      </c>
      <c r="AL137" s="6">
        <v>43060</v>
      </c>
      <c r="AM137" s="6">
        <v>44154</v>
      </c>
      <c r="AN137" s="4">
        <v>3</v>
      </c>
      <c r="AO137" s="6">
        <v>44154</v>
      </c>
      <c r="AP137" s="9">
        <v>1163.68</v>
      </c>
      <c r="AQ137" s="9">
        <v>116.37</v>
      </c>
      <c r="AR137" s="9">
        <v>116.37</v>
      </c>
      <c r="AS137" s="9">
        <v>1047.31</v>
      </c>
      <c r="AT137" s="4" t="s">
        <v>49</v>
      </c>
    </row>
    <row r="138" spans="1:46" ht="60" hidden="1" x14ac:dyDescent="0.25">
      <c r="A138" s="4">
        <v>35650875</v>
      </c>
      <c r="B138" s="4" t="str">
        <f>"19685086"</f>
        <v>19685086</v>
      </c>
      <c r="C138" s="4" t="str">
        <f>"700100060001"</f>
        <v>700100060001</v>
      </c>
      <c r="D138" s="4">
        <v>425297</v>
      </c>
      <c r="E138" s="4" t="s">
        <v>132</v>
      </c>
      <c r="F138" s="4" t="s">
        <v>321</v>
      </c>
      <c r="G138" s="4" t="str">
        <f>"704NTTQ68822"</f>
        <v>704NTTQ68822</v>
      </c>
      <c r="H138" s="4" t="str">
        <f>"704NTTQ68822"</f>
        <v>704NTTQ68822</v>
      </c>
      <c r="I138" s="4" t="str">
        <f>"HURRICANE / CAPACIDAD 1TB"</f>
        <v>HURRICANE / CAPACIDAD 1TB</v>
      </c>
      <c r="J138" s="4" t="s">
        <v>49</v>
      </c>
      <c r="K138" s="4"/>
      <c r="L138" s="9">
        <v>1163.68</v>
      </c>
      <c r="M138" s="4" t="s">
        <v>49</v>
      </c>
      <c r="N138" s="4" t="s">
        <v>113</v>
      </c>
      <c r="O138" s="4" t="s">
        <v>318</v>
      </c>
      <c r="P138" s="4" t="s">
        <v>135</v>
      </c>
      <c r="Q138" s="4" t="s">
        <v>54</v>
      </c>
      <c r="R138" s="4" t="s">
        <v>55</v>
      </c>
      <c r="S138" s="4" t="s">
        <v>56</v>
      </c>
      <c r="T138" s="4">
        <v>6</v>
      </c>
      <c r="U138" s="4" t="s">
        <v>57</v>
      </c>
      <c r="V138" s="4">
        <v>97459</v>
      </c>
      <c r="W138" s="4" t="s">
        <v>58</v>
      </c>
      <c r="X138" s="4">
        <v>1717662512</v>
      </c>
      <c r="Y138" s="4" t="s">
        <v>71</v>
      </c>
      <c r="Z138" s="4" t="s">
        <v>55</v>
      </c>
      <c r="AA138" s="4" t="s">
        <v>136</v>
      </c>
      <c r="AB138" s="4" t="s">
        <v>137</v>
      </c>
      <c r="AC138" s="4" t="s">
        <v>73</v>
      </c>
      <c r="AD138" s="4" t="s">
        <v>73</v>
      </c>
      <c r="AE138" s="4" t="s">
        <v>73</v>
      </c>
      <c r="AF138" s="4" t="s">
        <v>55</v>
      </c>
      <c r="AG138" s="4" t="s">
        <v>321</v>
      </c>
      <c r="AH138" s="4">
        <v>840107</v>
      </c>
      <c r="AI138" s="4" t="s">
        <v>312</v>
      </c>
      <c r="AJ138" s="4" t="s">
        <v>55</v>
      </c>
      <c r="AK138" s="5">
        <v>44874.711168981485</v>
      </c>
      <c r="AL138" s="6">
        <v>43060</v>
      </c>
      <c r="AM138" s="6">
        <v>44154</v>
      </c>
      <c r="AN138" s="4">
        <v>3</v>
      </c>
      <c r="AO138" s="6">
        <v>44154</v>
      </c>
      <c r="AP138" s="9">
        <v>1163.68</v>
      </c>
      <c r="AQ138" s="9">
        <v>116.37</v>
      </c>
      <c r="AR138" s="9">
        <v>116.37</v>
      </c>
      <c r="AS138" s="9">
        <v>1047.31</v>
      </c>
      <c r="AT138" s="4" t="s">
        <v>49</v>
      </c>
    </row>
    <row r="139" spans="1:46" ht="90" hidden="1" x14ac:dyDescent="0.25">
      <c r="A139" s="4">
        <v>35650876</v>
      </c>
      <c r="B139" s="4" t="str">
        <f>"19971129"</f>
        <v>19971129</v>
      </c>
      <c r="C139" s="4" t="str">
        <f>"700100490001"</f>
        <v>700100490001</v>
      </c>
      <c r="D139" s="4">
        <v>425297</v>
      </c>
      <c r="E139" s="4" t="s">
        <v>132</v>
      </c>
      <c r="F139" s="4" t="s">
        <v>336</v>
      </c>
      <c r="G139" s="4" t="str">
        <f>"755426-0010"</f>
        <v>755426-0010</v>
      </c>
      <c r="H139" s="4" t="str">
        <f>"755426-0010"</f>
        <v>755426-0010</v>
      </c>
      <c r="I139" s="4" t="str">
        <f>"BOSE SOUNDLINK REVOLVE BLUTOOTH 360 GRADOS / ESTEREO"</f>
        <v>BOSE SOUNDLINK REVOLVE BLUTOOTH 360 GRADOS / ESTEREO</v>
      </c>
      <c r="J139" s="4" t="s">
        <v>49</v>
      </c>
      <c r="K139" s="4"/>
      <c r="L139" s="9">
        <v>349.44</v>
      </c>
      <c r="M139" s="4" t="s">
        <v>49</v>
      </c>
      <c r="N139" s="4" t="s">
        <v>338</v>
      </c>
      <c r="O139" s="4" t="s">
        <v>318</v>
      </c>
      <c r="P139" s="4" t="s">
        <v>135</v>
      </c>
      <c r="Q139" s="4" t="s">
        <v>54</v>
      </c>
      <c r="R139" s="4" t="s">
        <v>55</v>
      </c>
      <c r="S139" s="4" t="s">
        <v>56</v>
      </c>
      <c r="T139" s="4">
        <v>6</v>
      </c>
      <c r="U139" s="4" t="s">
        <v>57</v>
      </c>
      <c r="V139" s="4">
        <v>97459</v>
      </c>
      <c r="W139" s="4" t="s">
        <v>58</v>
      </c>
      <c r="X139" s="4">
        <v>1719443135</v>
      </c>
      <c r="Y139" s="4" t="s">
        <v>109</v>
      </c>
      <c r="Z139" s="4" t="s">
        <v>55</v>
      </c>
      <c r="AA139" s="4" t="s">
        <v>136</v>
      </c>
      <c r="AB139" s="4" t="s">
        <v>137</v>
      </c>
      <c r="AC139" s="4" t="s">
        <v>73</v>
      </c>
      <c r="AD139" s="4" t="s">
        <v>73</v>
      </c>
      <c r="AE139" s="4" t="s">
        <v>73</v>
      </c>
      <c r="AF139" s="4" t="s">
        <v>55</v>
      </c>
      <c r="AG139" s="4" t="s">
        <v>336</v>
      </c>
      <c r="AH139" s="4">
        <v>840107</v>
      </c>
      <c r="AI139" s="4" t="s">
        <v>312</v>
      </c>
      <c r="AJ139" s="4" t="s">
        <v>55</v>
      </c>
      <c r="AK139" s="5">
        <v>44874.711168981485</v>
      </c>
      <c r="AL139" s="6">
        <v>43081</v>
      </c>
      <c r="AM139" s="6">
        <v>44175</v>
      </c>
      <c r="AN139" s="4">
        <v>3</v>
      </c>
      <c r="AO139" s="6">
        <v>44175</v>
      </c>
      <c r="AP139" s="9">
        <v>349.44</v>
      </c>
      <c r="AQ139" s="9">
        <v>34.94</v>
      </c>
      <c r="AR139" s="9">
        <v>34.94</v>
      </c>
      <c r="AS139" s="9">
        <v>314.5</v>
      </c>
      <c r="AT139" s="4" t="s">
        <v>49</v>
      </c>
    </row>
    <row r="140" spans="1:46" ht="60" hidden="1" x14ac:dyDescent="0.25">
      <c r="A140" s="4">
        <v>35650877</v>
      </c>
      <c r="B140" s="4" t="str">
        <f>"19971130"</f>
        <v>19971130</v>
      </c>
      <c r="C140" s="4" t="str">
        <f>"700100160001"</f>
        <v>700100160001</v>
      </c>
      <c r="D140" s="4">
        <v>425297</v>
      </c>
      <c r="E140" s="4" t="s">
        <v>132</v>
      </c>
      <c r="F140" s="4" t="s">
        <v>341</v>
      </c>
      <c r="G140" s="4" t="str">
        <f>"NL 35DEKP"</f>
        <v>NL 35DEKP</v>
      </c>
      <c r="H140" s="4" t="str">
        <f>"NL 35DEKP"</f>
        <v>NL 35DEKP</v>
      </c>
      <c r="I140" s="4" t="str">
        <f>"LACIE RUGGED USB 3.0 / 2TB"</f>
        <v>LACIE RUGGED USB 3.0 / 2TB</v>
      </c>
      <c r="J140" s="4" t="s">
        <v>49</v>
      </c>
      <c r="K140" s="4"/>
      <c r="L140" s="9">
        <v>403.2</v>
      </c>
      <c r="M140" s="4" t="s">
        <v>49</v>
      </c>
      <c r="N140" s="4" t="s">
        <v>343</v>
      </c>
      <c r="O140" s="4" t="s">
        <v>318</v>
      </c>
      <c r="P140" s="4" t="s">
        <v>135</v>
      </c>
      <c r="Q140" s="4" t="s">
        <v>54</v>
      </c>
      <c r="R140" s="4" t="s">
        <v>55</v>
      </c>
      <c r="S140" s="4" t="s">
        <v>56</v>
      </c>
      <c r="T140" s="4">
        <v>6</v>
      </c>
      <c r="U140" s="4" t="s">
        <v>57</v>
      </c>
      <c r="V140" s="4">
        <v>97459</v>
      </c>
      <c r="W140" s="4" t="s">
        <v>58</v>
      </c>
      <c r="X140" s="4">
        <v>1719443135</v>
      </c>
      <c r="Y140" s="4" t="s">
        <v>109</v>
      </c>
      <c r="Z140" s="4" t="s">
        <v>55</v>
      </c>
      <c r="AA140" s="4" t="s">
        <v>136</v>
      </c>
      <c r="AB140" s="4" t="s">
        <v>137</v>
      </c>
      <c r="AC140" s="4" t="s">
        <v>73</v>
      </c>
      <c r="AD140" s="4" t="s">
        <v>73</v>
      </c>
      <c r="AE140" s="4" t="s">
        <v>73</v>
      </c>
      <c r="AF140" s="4" t="s">
        <v>55</v>
      </c>
      <c r="AG140" s="4" t="s">
        <v>341</v>
      </c>
      <c r="AH140" s="4">
        <v>840107</v>
      </c>
      <c r="AI140" s="4" t="s">
        <v>312</v>
      </c>
      <c r="AJ140" s="4" t="s">
        <v>55</v>
      </c>
      <c r="AK140" s="5">
        <v>44874.711168981485</v>
      </c>
      <c r="AL140" s="6">
        <v>43081</v>
      </c>
      <c r="AM140" s="6">
        <v>44175</v>
      </c>
      <c r="AN140" s="4">
        <v>3</v>
      </c>
      <c r="AO140" s="6">
        <v>44175</v>
      </c>
      <c r="AP140" s="9">
        <v>403.2</v>
      </c>
      <c r="AQ140" s="9">
        <v>40.32</v>
      </c>
      <c r="AR140" s="9">
        <v>40.32</v>
      </c>
      <c r="AS140" s="9">
        <v>362.88</v>
      </c>
      <c r="AT140" s="4" t="s">
        <v>49</v>
      </c>
    </row>
    <row r="141" spans="1:46" ht="60" hidden="1" x14ac:dyDescent="0.25">
      <c r="A141" s="4">
        <v>35650878</v>
      </c>
      <c r="B141" s="4" t="str">
        <f>"19971131"</f>
        <v>19971131</v>
      </c>
      <c r="C141" s="4" t="str">
        <f>"700100160001"</f>
        <v>700100160001</v>
      </c>
      <c r="D141" s="4">
        <v>425297</v>
      </c>
      <c r="E141" s="4" t="s">
        <v>132</v>
      </c>
      <c r="F141" s="4" t="s">
        <v>341</v>
      </c>
      <c r="G141" s="4" t="str">
        <f>"NL35DB8E"</f>
        <v>NL35DB8E</v>
      </c>
      <c r="H141" s="4" t="str">
        <f>"NL35DB8E"</f>
        <v>NL35DB8E</v>
      </c>
      <c r="I141" s="4" t="str">
        <f>"LACIE RUGGED USB 3.0 / 2TB"</f>
        <v>LACIE RUGGED USB 3.0 / 2TB</v>
      </c>
      <c r="J141" s="4" t="s">
        <v>49</v>
      </c>
      <c r="K141" s="4"/>
      <c r="L141" s="9">
        <v>403.2</v>
      </c>
      <c r="M141" s="4" t="s">
        <v>49</v>
      </c>
      <c r="N141" s="4" t="s">
        <v>343</v>
      </c>
      <c r="O141" s="4" t="s">
        <v>318</v>
      </c>
      <c r="P141" s="4" t="s">
        <v>135</v>
      </c>
      <c r="Q141" s="4" t="s">
        <v>54</v>
      </c>
      <c r="R141" s="4" t="s">
        <v>55</v>
      </c>
      <c r="S141" s="4" t="s">
        <v>56</v>
      </c>
      <c r="T141" s="4">
        <v>6</v>
      </c>
      <c r="U141" s="4" t="s">
        <v>57</v>
      </c>
      <c r="V141" s="4">
        <v>97459</v>
      </c>
      <c r="W141" s="4" t="s">
        <v>58</v>
      </c>
      <c r="X141" s="4">
        <v>1717662512</v>
      </c>
      <c r="Y141" s="4" t="s">
        <v>71</v>
      </c>
      <c r="Z141" s="4" t="s">
        <v>55</v>
      </c>
      <c r="AA141" s="4" t="s">
        <v>136</v>
      </c>
      <c r="AB141" s="4" t="s">
        <v>137</v>
      </c>
      <c r="AC141" s="4" t="s">
        <v>73</v>
      </c>
      <c r="AD141" s="4" t="s">
        <v>73</v>
      </c>
      <c r="AE141" s="4" t="s">
        <v>73</v>
      </c>
      <c r="AF141" s="4" t="s">
        <v>55</v>
      </c>
      <c r="AG141" s="4" t="s">
        <v>341</v>
      </c>
      <c r="AH141" s="4">
        <v>840107</v>
      </c>
      <c r="AI141" s="4" t="s">
        <v>312</v>
      </c>
      <c r="AJ141" s="4" t="s">
        <v>55</v>
      </c>
      <c r="AK141" s="5">
        <v>44874.711168981485</v>
      </c>
      <c r="AL141" s="6">
        <v>43081</v>
      </c>
      <c r="AM141" s="6">
        <v>44175</v>
      </c>
      <c r="AN141" s="4">
        <v>3</v>
      </c>
      <c r="AO141" s="6">
        <v>44175</v>
      </c>
      <c r="AP141" s="9">
        <v>403.2</v>
      </c>
      <c r="AQ141" s="9">
        <v>40.32</v>
      </c>
      <c r="AR141" s="9">
        <v>40.32</v>
      </c>
      <c r="AS141" s="9">
        <v>362.88</v>
      </c>
      <c r="AT141" s="4" t="s">
        <v>49</v>
      </c>
    </row>
    <row r="142" spans="1:46" ht="45" hidden="1" x14ac:dyDescent="0.25">
      <c r="A142" s="4">
        <v>35650879</v>
      </c>
      <c r="B142" s="4" t="str">
        <f>"20135086"</f>
        <v>20135086</v>
      </c>
      <c r="C142" s="4" t="str">
        <f>"700100060002"</f>
        <v>700100060002</v>
      </c>
      <c r="D142" s="4">
        <v>425297</v>
      </c>
      <c r="E142" s="4" t="s">
        <v>132</v>
      </c>
      <c r="F142" s="4" t="s">
        <v>346</v>
      </c>
      <c r="G142" s="4" t="str">
        <f>"708NTDV70570"</f>
        <v>708NTDV70570</v>
      </c>
      <c r="H142" s="4" t="str">
        <f>"708NTDV70570"</f>
        <v>708NTDV70570</v>
      </c>
      <c r="I142" s="4" t="str">
        <f>"SPEEDMIND /MRAM 8GB 2 MODULOS"</f>
        <v>SPEEDMIND /MRAM 8GB 2 MODULOS</v>
      </c>
      <c r="J142" s="4" t="s">
        <v>49</v>
      </c>
      <c r="K142" s="4"/>
      <c r="L142" s="9">
        <v>1178.24</v>
      </c>
      <c r="M142" s="4" t="s">
        <v>49</v>
      </c>
      <c r="N142" s="4" t="s">
        <v>113</v>
      </c>
      <c r="O142" s="4" t="s">
        <v>318</v>
      </c>
      <c r="P142" s="4" t="s">
        <v>135</v>
      </c>
      <c r="Q142" s="4" t="s">
        <v>54</v>
      </c>
      <c r="R142" s="4" t="s">
        <v>55</v>
      </c>
      <c r="S142" s="4" t="s">
        <v>56</v>
      </c>
      <c r="T142" s="4">
        <v>6</v>
      </c>
      <c r="U142" s="4" t="s">
        <v>57</v>
      </c>
      <c r="V142" s="4">
        <v>97459</v>
      </c>
      <c r="W142" s="4" t="s">
        <v>58</v>
      </c>
      <c r="X142" s="4">
        <v>1716349814</v>
      </c>
      <c r="Y142" s="4" t="s">
        <v>86</v>
      </c>
      <c r="Z142" s="4" t="s">
        <v>55</v>
      </c>
      <c r="AA142" s="4" t="s">
        <v>136</v>
      </c>
      <c r="AB142" s="4" t="s">
        <v>137</v>
      </c>
      <c r="AC142" s="4" t="s">
        <v>73</v>
      </c>
      <c r="AD142" s="4" t="s">
        <v>73</v>
      </c>
      <c r="AE142" s="4" t="s">
        <v>73</v>
      </c>
      <c r="AF142" s="4" t="s">
        <v>55</v>
      </c>
      <c r="AG142" s="4" t="s">
        <v>346</v>
      </c>
      <c r="AH142" s="4">
        <v>840107</v>
      </c>
      <c r="AI142" s="4" t="s">
        <v>312</v>
      </c>
      <c r="AJ142" s="4" t="s">
        <v>55</v>
      </c>
      <c r="AK142" s="5">
        <v>44874.711168981485</v>
      </c>
      <c r="AL142" s="6">
        <v>43083</v>
      </c>
      <c r="AM142" s="6">
        <v>44177</v>
      </c>
      <c r="AN142" s="4">
        <v>3</v>
      </c>
      <c r="AO142" s="6">
        <v>44177</v>
      </c>
      <c r="AP142" s="9">
        <v>1178.24</v>
      </c>
      <c r="AQ142" s="9">
        <v>117.82</v>
      </c>
      <c r="AR142" s="9">
        <v>117.82</v>
      </c>
      <c r="AS142" s="9">
        <v>1060.42</v>
      </c>
      <c r="AT142" s="4" t="s">
        <v>49</v>
      </c>
    </row>
    <row r="143" spans="1:46" ht="30" hidden="1" x14ac:dyDescent="0.25">
      <c r="A143" s="4">
        <v>35650939</v>
      </c>
      <c r="B143" s="4" t="str">
        <f>"25953620"</f>
        <v>25953620</v>
      </c>
      <c r="C143" s="4" t="str">
        <f>"700100060001"</f>
        <v>700100060001</v>
      </c>
      <c r="D143" s="4">
        <v>425297</v>
      </c>
      <c r="E143" s="4" t="s">
        <v>132</v>
      </c>
      <c r="F143" s="4" t="s">
        <v>321</v>
      </c>
      <c r="G143" s="4" t="str">
        <f>"AQPI71A002089"</f>
        <v>AQPI71A002089</v>
      </c>
      <c r="H143" s="4" t="str">
        <f>"AQPI71A002089"</f>
        <v>AQPI71A002089</v>
      </c>
      <c r="I143" s="4" t="str">
        <f>"INTEL CORE I7-7700"</f>
        <v>INTEL CORE I7-7700</v>
      </c>
      <c r="J143" s="4" t="s">
        <v>49</v>
      </c>
      <c r="K143" s="4"/>
      <c r="L143" s="9">
        <v>1140.04</v>
      </c>
      <c r="M143" s="4" t="s">
        <v>49</v>
      </c>
      <c r="N143" s="4" t="s">
        <v>113</v>
      </c>
      <c r="O143" s="4" t="s">
        <v>318</v>
      </c>
      <c r="P143" s="4" t="s">
        <v>135</v>
      </c>
      <c r="Q143" s="4" t="s">
        <v>54</v>
      </c>
      <c r="R143" s="4" t="s">
        <v>55</v>
      </c>
      <c r="S143" s="4" t="s">
        <v>56</v>
      </c>
      <c r="T143" s="4">
        <v>6</v>
      </c>
      <c r="U143" s="4" t="s">
        <v>57</v>
      </c>
      <c r="V143" s="4">
        <v>97459</v>
      </c>
      <c r="W143" s="4" t="s">
        <v>58</v>
      </c>
      <c r="X143" s="4">
        <v>1717662512</v>
      </c>
      <c r="Y143" s="4" t="s">
        <v>71</v>
      </c>
      <c r="Z143" s="4" t="s">
        <v>55</v>
      </c>
      <c r="AA143" s="4" t="s">
        <v>136</v>
      </c>
      <c r="AB143" s="4" t="s">
        <v>137</v>
      </c>
      <c r="AC143" s="4" t="s">
        <v>73</v>
      </c>
      <c r="AD143" s="4" t="s">
        <v>73</v>
      </c>
      <c r="AE143" s="4" t="s">
        <v>73</v>
      </c>
      <c r="AF143" s="4" t="s">
        <v>55</v>
      </c>
      <c r="AG143" s="4" t="s">
        <v>321</v>
      </c>
      <c r="AH143" s="4">
        <v>840107</v>
      </c>
      <c r="AI143" s="4" t="s">
        <v>312</v>
      </c>
      <c r="AJ143" s="4" t="s">
        <v>55</v>
      </c>
      <c r="AK143" s="5">
        <v>44874.711180555554</v>
      </c>
      <c r="AL143" s="6">
        <v>43430</v>
      </c>
      <c r="AM143" s="6">
        <v>44524</v>
      </c>
      <c r="AN143" s="4">
        <v>3</v>
      </c>
      <c r="AO143" s="6">
        <v>44524</v>
      </c>
      <c r="AP143" s="9">
        <v>1140.04</v>
      </c>
      <c r="AQ143" s="9">
        <v>114</v>
      </c>
      <c r="AR143" s="9">
        <v>114</v>
      </c>
      <c r="AS143" s="9">
        <v>1026.04</v>
      </c>
      <c r="AT143" s="4" t="s">
        <v>49</v>
      </c>
    </row>
    <row r="144" spans="1:46" ht="30" hidden="1" x14ac:dyDescent="0.25">
      <c r="A144" s="4">
        <v>35650940</v>
      </c>
      <c r="B144" s="4" t="str">
        <f>"25953621"</f>
        <v>25953621</v>
      </c>
      <c r="C144" s="4" t="str">
        <f>"700100060001"</f>
        <v>700100060001</v>
      </c>
      <c r="D144" s="4">
        <v>425297</v>
      </c>
      <c r="E144" s="4" t="s">
        <v>132</v>
      </c>
      <c r="F144" s="4" t="s">
        <v>321</v>
      </c>
      <c r="G144" s="4" t="str">
        <f>"AQPI71A002274"</f>
        <v>AQPI71A002274</v>
      </c>
      <c r="H144" s="4" t="str">
        <f>"AQPI71A002274"</f>
        <v>AQPI71A002274</v>
      </c>
      <c r="I144" s="4" t="str">
        <f>"INTEL CORE I7-7700"</f>
        <v>INTEL CORE I7-7700</v>
      </c>
      <c r="J144" s="4" t="s">
        <v>49</v>
      </c>
      <c r="K144" s="4"/>
      <c r="L144" s="9">
        <v>1140.05</v>
      </c>
      <c r="M144" s="4" t="s">
        <v>49</v>
      </c>
      <c r="N144" s="4" t="s">
        <v>113</v>
      </c>
      <c r="O144" s="4" t="s">
        <v>318</v>
      </c>
      <c r="P144" s="4" t="s">
        <v>135</v>
      </c>
      <c r="Q144" s="4" t="s">
        <v>54</v>
      </c>
      <c r="R144" s="4" t="s">
        <v>55</v>
      </c>
      <c r="S144" s="4" t="s">
        <v>56</v>
      </c>
      <c r="T144" s="4">
        <v>6</v>
      </c>
      <c r="U144" s="4" t="s">
        <v>57</v>
      </c>
      <c r="V144" s="4">
        <v>97459</v>
      </c>
      <c r="W144" s="4" t="s">
        <v>58</v>
      </c>
      <c r="X144" s="4">
        <v>1717662512</v>
      </c>
      <c r="Y144" s="4" t="s">
        <v>71</v>
      </c>
      <c r="Z144" s="4" t="s">
        <v>55</v>
      </c>
      <c r="AA144" s="4" t="s">
        <v>136</v>
      </c>
      <c r="AB144" s="4" t="s">
        <v>137</v>
      </c>
      <c r="AC144" s="4" t="s">
        <v>73</v>
      </c>
      <c r="AD144" s="4" t="s">
        <v>73</v>
      </c>
      <c r="AE144" s="4" t="s">
        <v>73</v>
      </c>
      <c r="AF144" s="4" t="s">
        <v>55</v>
      </c>
      <c r="AG144" s="4" t="s">
        <v>321</v>
      </c>
      <c r="AH144" s="4">
        <v>840107</v>
      </c>
      <c r="AI144" s="4" t="s">
        <v>312</v>
      </c>
      <c r="AJ144" s="4" t="s">
        <v>55</v>
      </c>
      <c r="AK144" s="5">
        <v>44874.711180555554</v>
      </c>
      <c r="AL144" s="6">
        <v>43430</v>
      </c>
      <c r="AM144" s="6">
        <v>44524</v>
      </c>
      <c r="AN144" s="4">
        <v>3</v>
      </c>
      <c r="AO144" s="6">
        <v>44524</v>
      </c>
      <c r="AP144" s="9">
        <v>1140.05</v>
      </c>
      <c r="AQ144" s="9">
        <v>114.01</v>
      </c>
      <c r="AR144" s="9">
        <v>114.01</v>
      </c>
      <c r="AS144" s="9">
        <v>1026.04</v>
      </c>
      <c r="AT144" s="4" t="s">
        <v>49</v>
      </c>
    </row>
    <row r="145" spans="1:46" ht="30" hidden="1" x14ac:dyDescent="0.25">
      <c r="A145" s="4">
        <v>35650941</v>
      </c>
      <c r="B145" s="4" t="str">
        <f>"25953622"</f>
        <v>25953622</v>
      </c>
      <c r="C145" s="4" t="str">
        <f>"700100060001"</f>
        <v>700100060001</v>
      </c>
      <c r="D145" s="4">
        <v>425297</v>
      </c>
      <c r="E145" s="4" t="s">
        <v>132</v>
      </c>
      <c r="F145" s="4" t="s">
        <v>321</v>
      </c>
      <c r="G145" s="4" t="str">
        <f>"AQPI71A002433"</f>
        <v>AQPI71A002433</v>
      </c>
      <c r="H145" s="4" t="str">
        <f>"AQPI71A002433"</f>
        <v>AQPI71A002433</v>
      </c>
      <c r="I145" s="4" t="str">
        <f>"INTEL CORE I7-7700"</f>
        <v>INTEL CORE I7-7700</v>
      </c>
      <c r="J145" s="4" t="s">
        <v>49</v>
      </c>
      <c r="K145" s="4"/>
      <c r="L145" s="9">
        <v>1140.05</v>
      </c>
      <c r="M145" s="4" t="s">
        <v>49</v>
      </c>
      <c r="N145" s="4" t="s">
        <v>113</v>
      </c>
      <c r="O145" s="4" t="s">
        <v>318</v>
      </c>
      <c r="P145" s="4" t="s">
        <v>135</v>
      </c>
      <c r="Q145" s="4" t="s">
        <v>54</v>
      </c>
      <c r="R145" s="4" t="s">
        <v>55</v>
      </c>
      <c r="S145" s="4" t="s">
        <v>56</v>
      </c>
      <c r="T145" s="4">
        <v>6</v>
      </c>
      <c r="U145" s="4" t="s">
        <v>57</v>
      </c>
      <c r="V145" s="4">
        <v>97459</v>
      </c>
      <c r="W145" s="4" t="s">
        <v>58</v>
      </c>
      <c r="X145" s="4">
        <v>1710914985</v>
      </c>
      <c r="Y145" s="4" t="s">
        <v>221</v>
      </c>
      <c r="Z145" s="4" t="s">
        <v>55</v>
      </c>
      <c r="AA145" s="4" t="s">
        <v>136</v>
      </c>
      <c r="AB145" s="4" t="s">
        <v>137</v>
      </c>
      <c r="AC145" s="4" t="s">
        <v>73</v>
      </c>
      <c r="AD145" s="4" t="s">
        <v>73</v>
      </c>
      <c r="AE145" s="4" t="s">
        <v>73</v>
      </c>
      <c r="AF145" s="4" t="s">
        <v>55</v>
      </c>
      <c r="AG145" s="4" t="s">
        <v>321</v>
      </c>
      <c r="AH145" s="4">
        <v>840107</v>
      </c>
      <c r="AI145" s="4" t="s">
        <v>312</v>
      </c>
      <c r="AJ145" s="4" t="s">
        <v>55</v>
      </c>
      <c r="AK145" s="5">
        <v>44874.711180555554</v>
      </c>
      <c r="AL145" s="6">
        <v>43430</v>
      </c>
      <c r="AM145" s="6">
        <v>44524</v>
      </c>
      <c r="AN145" s="4">
        <v>3</v>
      </c>
      <c r="AO145" s="6">
        <v>44524</v>
      </c>
      <c r="AP145" s="9">
        <v>1140.05</v>
      </c>
      <c r="AQ145" s="9">
        <v>114.01</v>
      </c>
      <c r="AR145" s="9">
        <v>114.01</v>
      </c>
      <c r="AS145" s="9">
        <v>1026.04</v>
      </c>
      <c r="AT145" s="4" t="s">
        <v>49</v>
      </c>
    </row>
    <row r="146" spans="1:46" ht="30" hidden="1" x14ac:dyDescent="0.25">
      <c r="A146" s="4">
        <v>35650942</v>
      </c>
      <c r="B146" s="4" t="str">
        <f>"25953623"</f>
        <v>25953623</v>
      </c>
      <c r="C146" s="4" t="str">
        <f>"700100060001"</f>
        <v>700100060001</v>
      </c>
      <c r="D146" s="4">
        <v>425297</v>
      </c>
      <c r="E146" s="4" t="s">
        <v>132</v>
      </c>
      <c r="F146" s="4" t="s">
        <v>321</v>
      </c>
      <c r="G146" s="4" t="str">
        <f>"AQPI71A002450"</f>
        <v>AQPI71A002450</v>
      </c>
      <c r="H146" s="4" t="str">
        <f>"AQPI71A002450"</f>
        <v>AQPI71A002450</v>
      </c>
      <c r="I146" s="4" t="str">
        <f>"INTEL CORE I7-7700"</f>
        <v>INTEL CORE I7-7700</v>
      </c>
      <c r="J146" s="4" t="s">
        <v>49</v>
      </c>
      <c r="K146" s="4"/>
      <c r="L146" s="9">
        <v>1140.05</v>
      </c>
      <c r="M146" s="4" t="s">
        <v>49</v>
      </c>
      <c r="N146" s="4" t="s">
        <v>113</v>
      </c>
      <c r="O146" s="4" t="s">
        <v>318</v>
      </c>
      <c r="P146" s="4" t="s">
        <v>135</v>
      </c>
      <c r="Q146" s="4" t="s">
        <v>54</v>
      </c>
      <c r="R146" s="4" t="s">
        <v>55</v>
      </c>
      <c r="S146" s="4" t="s">
        <v>56</v>
      </c>
      <c r="T146" s="4">
        <v>6</v>
      </c>
      <c r="U146" s="4" t="s">
        <v>57</v>
      </c>
      <c r="V146" s="4">
        <v>97459</v>
      </c>
      <c r="W146" s="4" t="s">
        <v>58</v>
      </c>
      <c r="X146" s="4">
        <v>1717662512</v>
      </c>
      <c r="Y146" s="4" t="s">
        <v>71</v>
      </c>
      <c r="Z146" s="4" t="s">
        <v>55</v>
      </c>
      <c r="AA146" s="4" t="s">
        <v>136</v>
      </c>
      <c r="AB146" s="4" t="s">
        <v>137</v>
      </c>
      <c r="AC146" s="4" t="s">
        <v>73</v>
      </c>
      <c r="AD146" s="4" t="s">
        <v>73</v>
      </c>
      <c r="AE146" s="4" t="s">
        <v>73</v>
      </c>
      <c r="AF146" s="4" t="s">
        <v>55</v>
      </c>
      <c r="AG146" s="4" t="s">
        <v>321</v>
      </c>
      <c r="AH146" s="4">
        <v>840107</v>
      </c>
      <c r="AI146" s="4" t="s">
        <v>312</v>
      </c>
      <c r="AJ146" s="4" t="s">
        <v>55</v>
      </c>
      <c r="AK146" s="5">
        <v>44874.711180555554</v>
      </c>
      <c r="AL146" s="6">
        <v>43430</v>
      </c>
      <c r="AM146" s="6">
        <v>44524</v>
      </c>
      <c r="AN146" s="4">
        <v>3</v>
      </c>
      <c r="AO146" s="6">
        <v>44524</v>
      </c>
      <c r="AP146" s="9">
        <v>1140.05</v>
      </c>
      <c r="AQ146" s="9">
        <v>114.01</v>
      </c>
      <c r="AR146" s="9">
        <v>114.01</v>
      </c>
      <c r="AS146" s="9">
        <v>1026.04</v>
      </c>
      <c r="AT146" s="4" t="s">
        <v>49</v>
      </c>
    </row>
    <row r="147" spans="1:46" ht="30" hidden="1" x14ac:dyDescent="0.25">
      <c r="A147" s="4">
        <v>35650943</v>
      </c>
      <c r="B147" s="4" t="str">
        <f>"25953624"</f>
        <v>25953624</v>
      </c>
      <c r="C147" s="4" t="str">
        <f>"700100060001"</f>
        <v>700100060001</v>
      </c>
      <c r="D147" s="4">
        <v>425297</v>
      </c>
      <c r="E147" s="4" t="s">
        <v>132</v>
      </c>
      <c r="F147" s="4" t="s">
        <v>321</v>
      </c>
      <c r="G147" s="4" t="str">
        <f>"AQPI71A009066"</f>
        <v>AQPI71A009066</v>
      </c>
      <c r="H147" s="4" t="str">
        <f>"AQPI71A009066"</f>
        <v>AQPI71A009066</v>
      </c>
      <c r="I147" s="4" t="str">
        <f>"INTEL CORE I7-7700"</f>
        <v>INTEL CORE I7-7700</v>
      </c>
      <c r="J147" s="4" t="s">
        <v>49</v>
      </c>
      <c r="K147" s="4"/>
      <c r="L147" s="9">
        <v>1140.05</v>
      </c>
      <c r="M147" s="4" t="s">
        <v>49</v>
      </c>
      <c r="N147" s="4" t="s">
        <v>113</v>
      </c>
      <c r="O147" s="4" t="s">
        <v>318</v>
      </c>
      <c r="P147" s="4" t="s">
        <v>135</v>
      </c>
      <c r="Q147" s="4" t="s">
        <v>54</v>
      </c>
      <c r="R147" s="4" t="s">
        <v>55</v>
      </c>
      <c r="S147" s="4" t="s">
        <v>56</v>
      </c>
      <c r="T147" s="4">
        <v>6</v>
      </c>
      <c r="U147" s="4" t="s">
        <v>57</v>
      </c>
      <c r="V147" s="4">
        <v>97459</v>
      </c>
      <c r="W147" s="4" t="s">
        <v>58</v>
      </c>
      <c r="X147" s="4">
        <v>401265012</v>
      </c>
      <c r="Y147" s="4" t="s">
        <v>130</v>
      </c>
      <c r="Z147" s="4" t="s">
        <v>55</v>
      </c>
      <c r="AA147" s="4" t="s">
        <v>136</v>
      </c>
      <c r="AB147" s="4" t="s">
        <v>137</v>
      </c>
      <c r="AC147" s="4" t="s">
        <v>73</v>
      </c>
      <c r="AD147" s="4" t="s">
        <v>73</v>
      </c>
      <c r="AE147" s="4" t="s">
        <v>73</v>
      </c>
      <c r="AF147" s="4" t="s">
        <v>55</v>
      </c>
      <c r="AG147" s="4" t="s">
        <v>321</v>
      </c>
      <c r="AH147" s="4">
        <v>840107</v>
      </c>
      <c r="AI147" s="4" t="s">
        <v>312</v>
      </c>
      <c r="AJ147" s="4" t="s">
        <v>55</v>
      </c>
      <c r="AK147" s="5">
        <v>44874.711180555554</v>
      </c>
      <c r="AL147" s="6">
        <v>43430</v>
      </c>
      <c r="AM147" s="6">
        <v>44524</v>
      </c>
      <c r="AN147" s="4">
        <v>3</v>
      </c>
      <c r="AO147" s="6">
        <v>44524</v>
      </c>
      <c r="AP147" s="9">
        <v>1140.05</v>
      </c>
      <c r="AQ147" s="9">
        <v>114.01</v>
      </c>
      <c r="AR147" s="9">
        <v>114.01</v>
      </c>
      <c r="AS147" s="9">
        <v>1026.04</v>
      </c>
      <c r="AT147" s="4" t="s">
        <v>49</v>
      </c>
    </row>
    <row r="148" spans="1:46" ht="135" hidden="1" x14ac:dyDescent="0.25">
      <c r="A148" s="4">
        <v>35650946</v>
      </c>
      <c r="B148" s="4" t="str">
        <f>"25977610"</f>
        <v>25977610</v>
      </c>
      <c r="C148" s="4" t="str">
        <f>"700100660001"</f>
        <v>700100660001</v>
      </c>
      <c r="D148" s="4">
        <v>425297</v>
      </c>
      <c r="E148" s="4" t="s">
        <v>132</v>
      </c>
      <c r="F148" s="4" t="s">
        <v>354</v>
      </c>
      <c r="G148" s="4" t="str">
        <f>"CN70K3P60V"</f>
        <v>CN70K3P60V</v>
      </c>
      <c r="H148" s="4" t="str">
        <f>"CN70K3P60V"</f>
        <v>CN70K3P60V</v>
      </c>
      <c r="I148" s="4" t="str">
        <f>"4 RANURAS SFP 100/1000 MBPS (IEEE 802.3U TYPE 100BASE-FX. IEEE 802.3Z TYPE 1000BASE-X"</f>
        <v>4 RANURAS SFP 100/1000 MBPS (IEEE 802.3U TYPE 100BASE-FX. IEEE 802.3Z TYPE 1000BASE-X</v>
      </c>
      <c r="J148" s="4" t="s">
        <v>49</v>
      </c>
      <c r="K148" s="4"/>
      <c r="L148" s="9">
        <v>1064</v>
      </c>
      <c r="M148" s="4" t="s">
        <v>49</v>
      </c>
      <c r="N148" s="4" t="s">
        <v>100</v>
      </c>
      <c r="O148" s="4" t="s">
        <v>318</v>
      </c>
      <c r="P148" s="4" t="s">
        <v>135</v>
      </c>
      <c r="Q148" s="4" t="s">
        <v>54</v>
      </c>
      <c r="R148" s="4" t="s">
        <v>55</v>
      </c>
      <c r="S148" s="4" t="s">
        <v>56</v>
      </c>
      <c r="T148" s="4">
        <v>6</v>
      </c>
      <c r="U148" s="4" t="s">
        <v>57</v>
      </c>
      <c r="V148" s="4">
        <v>97459</v>
      </c>
      <c r="W148" s="4" t="s">
        <v>58</v>
      </c>
      <c r="X148" s="4">
        <v>1717662512</v>
      </c>
      <c r="Y148" s="4" t="s">
        <v>71</v>
      </c>
      <c r="Z148" s="4" t="s">
        <v>55</v>
      </c>
      <c r="AA148" s="4" t="s">
        <v>136</v>
      </c>
      <c r="AB148" s="4" t="s">
        <v>137</v>
      </c>
      <c r="AC148" s="4" t="s">
        <v>73</v>
      </c>
      <c r="AD148" s="4" t="s">
        <v>73</v>
      </c>
      <c r="AE148" s="4" t="s">
        <v>73</v>
      </c>
      <c r="AF148" s="4" t="s">
        <v>55</v>
      </c>
      <c r="AG148" s="4" t="s">
        <v>354</v>
      </c>
      <c r="AH148" s="4">
        <v>840107</v>
      </c>
      <c r="AI148" s="4" t="s">
        <v>312</v>
      </c>
      <c r="AJ148" s="4" t="s">
        <v>55</v>
      </c>
      <c r="AK148" s="5">
        <v>44874.711180555554</v>
      </c>
      <c r="AL148" s="6">
        <v>43434</v>
      </c>
      <c r="AM148" s="6">
        <v>44528</v>
      </c>
      <c r="AN148" s="4">
        <v>3</v>
      </c>
      <c r="AO148" s="6">
        <v>44528</v>
      </c>
      <c r="AP148" s="9">
        <v>1064</v>
      </c>
      <c r="AQ148" s="9">
        <v>106.4</v>
      </c>
      <c r="AR148" s="9">
        <v>106.4</v>
      </c>
      <c r="AS148" s="9">
        <v>957.6</v>
      </c>
      <c r="AT148" s="4" t="s">
        <v>49</v>
      </c>
    </row>
    <row r="149" spans="1:46" ht="135" hidden="1" x14ac:dyDescent="0.25">
      <c r="A149" s="4">
        <v>35650947</v>
      </c>
      <c r="B149" s="4" t="str">
        <f>"25977611"</f>
        <v>25977611</v>
      </c>
      <c r="C149" s="4" t="str">
        <f>"700100660001"</f>
        <v>700100660001</v>
      </c>
      <c r="D149" s="4">
        <v>425297</v>
      </c>
      <c r="E149" s="4" t="s">
        <v>132</v>
      </c>
      <c r="F149" s="4" t="s">
        <v>354</v>
      </c>
      <c r="G149" s="4" t="str">
        <f>"246000001794A"</f>
        <v>246000001794A</v>
      </c>
      <c r="H149" s="4" t="str">
        <f>"246000001794A"</f>
        <v>246000001794A</v>
      </c>
      <c r="I149" s="4" t="str">
        <f>"4 RANURAS SFP 100/1000 MBPS (IEEE 802.3U TYPE 100BASE-FX. IEEE 802.3Z TYPE 1000BASE-X"</f>
        <v>4 RANURAS SFP 100/1000 MBPS (IEEE 802.3U TYPE 100BASE-FX. IEEE 802.3Z TYPE 1000BASE-X</v>
      </c>
      <c r="J149" s="4" t="s">
        <v>49</v>
      </c>
      <c r="K149" s="4"/>
      <c r="L149" s="9">
        <v>1064</v>
      </c>
      <c r="M149" s="4" t="s">
        <v>49</v>
      </c>
      <c r="N149" s="4" t="s">
        <v>100</v>
      </c>
      <c r="O149" s="4" t="s">
        <v>318</v>
      </c>
      <c r="P149" s="4" t="s">
        <v>135</v>
      </c>
      <c r="Q149" s="4" t="s">
        <v>54</v>
      </c>
      <c r="R149" s="4" t="s">
        <v>55</v>
      </c>
      <c r="S149" s="4" t="s">
        <v>56</v>
      </c>
      <c r="T149" s="4">
        <v>6</v>
      </c>
      <c r="U149" s="4" t="s">
        <v>57</v>
      </c>
      <c r="V149" s="4">
        <v>97459</v>
      </c>
      <c r="W149" s="4" t="s">
        <v>58</v>
      </c>
      <c r="X149" s="4">
        <v>401265012</v>
      </c>
      <c r="Y149" s="4" t="s">
        <v>130</v>
      </c>
      <c r="Z149" s="4" t="s">
        <v>55</v>
      </c>
      <c r="AA149" s="4" t="s">
        <v>136</v>
      </c>
      <c r="AB149" s="4" t="s">
        <v>137</v>
      </c>
      <c r="AC149" s="4" t="s">
        <v>73</v>
      </c>
      <c r="AD149" s="4" t="s">
        <v>73</v>
      </c>
      <c r="AE149" s="4" t="s">
        <v>73</v>
      </c>
      <c r="AF149" s="4" t="s">
        <v>55</v>
      </c>
      <c r="AG149" s="4" t="s">
        <v>354</v>
      </c>
      <c r="AH149" s="4">
        <v>840107</v>
      </c>
      <c r="AI149" s="4" t="s">
        <v>312</v>
      </c>
      <c r="AJ149" s="4" t="s">
        <v>55</v>
      </c>
      <c r="AK149" s="5">
        <v>44874.711180555554</v>
      </c>
      <c r="AL149" s="6">
        <v>43434</v>
      </c>
      <c r="AM149" s="6">
        <v>44528</v>
      </c>
      <c r="AN149" s="4">
        <v>3</v>
      </c>
      <c r="AO149" s="6">
        <v>44528</v>
      </c>
      <c r="AP149" s="9">
        <v>1064</v>
      </c>
      <c r="AQ149" s="9">
        <v>106.4</v>
      </c>
      <c r="AR149" s="9">
        <v>106.4</v>
      </c>
      <c r="AS149" s="9">
        <v>957.6</v>
      </c>
      <c r="AT149" s="4" t="s">
        <v>49</v>
      </c>
    </row>
    <row r="150" spans="1:46" ht="105" hidden="1" x14ac:dyDescent="0.25">
      <c r="A150" s="4">
        <v>35650948</v>
      </c>
      <c r="B150" s="4" t="str">
        <f>"25977612"</f>
        <v>25977612</v>
      </c>
      <c r="C150" s="4" t="str">
        <f>"700101010001"</f>
        <v>700101010001</v>
      </c>
      <c r="D150" s="4">
        <v>425297</v>
      </c>
      <c r="E150" s="4" t="s">
        <v>132</v>
      </c>
      <c r="F150" s="4" t="s">
        <v>357</v>
      </c>
      <c r="G150" s="4" t="str">
        <f>"WX11077K79J9"</f>
        <v>WX11077K79J9</v>
      </c>
      <c r="H150" s="4" t="str">
        <f>"WX11077K79J9"</f>
        <v>WX11077K79J9</v>
      </c>
      <c r="I150" s="4" t="str">
        <f>"MY CLOUD HOME /6 TB (2 DISCOS DE 3 TB. CAPACIDAD UTILIZABLE DE 2.95 TB)"</f>
        <v>MY CLOUD HOME /6 TB (2 DISCOS DE 3 TB. CAPACIDAD UTILIZABLE DE 2.95 TB)</v>
      </c>
      <c r="J150" s="4" t="s">
        <v>49</v>
      </c>
      <c r="K150" s="4"/>
      <c r="L150" s="9">
        <v>403.2</v>
      </c>
      <c r="M150" s="4" t="s">
        <v>49</v>
      </c>
      <c r="N150" s="4" t="s">
        <v>358</v>
      </c>
      <c r="O150" s="4" t="s">
        <v>318</v>
      </c>
      <c r="P150" s="4" t="s">
        <v>135</v>
      </c>
      <c r="Q150" s="4" t="s">
        <v>54</v>
      </c>
      <c r="R150" s="4" t="s">
        <v>55</v>
      </c>
      <c r="S150" s="4" t="s">
        <v>56</v>
      </c>
      <c r="T150" s="4">
        <v>6</v>
      </c>
      <c r="U150" s="4" t="s">
        <v>57</v>
      </c>
      <c r="V150" s="4">
        <v>97459</v>
      </c>
      <c r="W150" s="4" t="s">
        <v>58</v>
      </c>
      <c r="X150" s="4">
        <v>401265012</v>
      </c>
      <c r="Y150" s="4" t="s">
        <v>130</v>
      </c>
      <c r="Z150" s="4" t="s">
        <v>55</v>
      </c>
      <c r="AA150" s="4" t="s">
        <v>136</v>
      </c>
      <c r="AB150" s="4" t="s">
        <v>137</v>
      </c>
      <c r="AC150" s="4" t="s">
        <v>73</v>
      </c>
      <c r="AD150" s="4" t="s">
        <v>73</v>
      </c>
      <c r="AE150" s="4" t="s">
        <v>73</v>
      </c>
      <c r="AF150" s="4" t="s">
        <v>55</v>
      </c>
      <c r="AG150" s="4" t="s">
        <v>357</v>
      </c>
      <c r="AH150" s="4">
        <v>840107</v>
      </c>
      <c r="AI150" s="4" t="s">
        <v>312</v>
      </c>
      <c r="AJ150" s="4" t="s">
        <v>55</v>
      </c>
      <c r="AK150" s="5">
        <v>44874.711180555554</v>
      </c>
      <c r="AL150" s="6">
        <v>43434</v>
      </c>
      <c r="AM150" s="6">
        <v>44528</v>
      </c>
      <c r="AN150" s="4">
        <v>3</v>
      </c>
      <c r="AO150" s="6">
        <v>44528</v>
      </c>
      <c r="AP150" s="9">
        <v>403.2</v>
      </c>
      <c r="AQ150" s="9">
        <v>40.32</v>
      </c>
      <c r="AR150" s="9">
        <v>40.32</v>
      </c>
      <c r="AS150" s="9">
        <v>362.88</v>
      </c>
      <c r="AT150" s="4" t="s">
        <v>49</v>
      </c>
    </row>
    <row r="151" spans="1:46" ht="105" hidden="1" x14ac:dyDescent="0.25">
      <c r="A151" s="4">
        <v>35650949</v>
      </c>
      <c r="B151" s="4" t="str">
        <f>"30473757"</f>
        <v>30473757</v>
      </c>
      <c r="C151" s="4" t="str">
        <f t="shared" ref="C151:C166" si="17">"700100070001"</f>
        <v>700100070001</v>
      </c>
      <c r="D151" s="4">
        <v>425297</v>
      </c>
      <c r="E151" s="4" t="s">
        <v>132</v>
      </c>
      <c r="F151" s="4" t="s">
        <v>316</v>
      </c>
      <c r="G151" s="4" t="str">
        <f>"5CD9430WN8"</f>
        <v>5CD9430WN8</v>
      </c>
      <c r="H151" s="4" t="str">
        <f>"5CD9430WN8"</f>
        <v>5CD9430WN8</v>
      </c>
      <c r="I151" s="4" t="str">
        <f>"HP / PROCESADOR INTEL CORE I7-8565U / COLOR PLOMO"</f>
        <v>HP / PROCESADOR INTEL CORE I7-8565U / COLOR PLOMO</v>
      </c>
      <c r="J151" s="4" t="s">
        <v>49</v>
      </c>
      <c r="K151" s="4"/>
      <c r="L151" s="9">
        <v>1423.52</v>
      </c>
      <c r="M151" s="4" t="s">
        <v>49</v>
      </c>
      <c r="N151" s="4" t="s">
        <v>68</v>
      </c>
      <c r="O151" s="4" t="s">
        <v>318</v>
      </c>
      <c r="P151" s="4" t="s">
        <v>135</v>
      </c>
      <c r="Q151" s="4" t="s">
        <v>54</v>
      </c>
      <c r="R151" s="4" t="s">
        <v>55</v>
      </c>
      <c r="S151" s="4" t="s">
        <v>56</v>
      </c>
      <c r="T151" s="4">
        <v>6</v>
      </c>
      <c r="U151" s="4" t="s">
        <v>57</v>
      </c>
      <c r="V151" s="4">
        <v>97459</v>
      </c>
      <c r="W151" s="4" t="s">
        <v>58</v>
      </c>
      <c r="X151" s="4">
        <v>1003429584</v>
      </c>
      <c r="Y151" s="4" t="s">
        <v>95</v>
      </c>
      <c r="Z151" s="4" t="s">
        <v>55</v>
      </c>
      <c r="AA151" s="4" t="s">
        <v>136</v>
      </c>
      <c r="AB151" s="4" t="s">
        <v>137</v>
      </c>
      <c r="AC151" s="4" t="s">
        <v>73</v>
      </c>
      <c r="AD151" s="4" t="s">
        <v>73</v>
      </c>
      <c r="AE151" s="4" t="s">
        <v>73</v>
      </c>
      <c r="AF151" s="4" t="s">
        <v>55</v>
      </c>
      <c r="AG151" s="4" t="s">
        <v>316</v>
      </c>
      <c r="AH151" s="4">
        <v>840107</v>
      </c>
      <c r="AI151" s="4" t="s">
        <v>312</v>
      </c>
      <c r="AJ151" s="4" t="s">
        <v>49</v>
      </c>
      <c r="AK151" s="5">
        <v>44874.711180555554</v>
      </c>
      <c r="AL151" s="6">
        <v>43796</v>
      </c>
      <c r="AM151" s="6">
        <v>44890</v>
      </c>
      <c r="AN151" s="4">
        <v>3</v>
      </c>
      <c r="AO151" s="6">
        <v>44890</v>
      </c>
      <c r="AP151" s="9">
        <v>1423.52</v>
      </c>
      <c r="AQ151" s="9">
        <v>142.35</v>
      </c>
      <c r="AR151" s="9">
        <v>142.35</v>
      </c>
      <c r="AS151" s="9">
        <v>1281.17</v>
      </c>
      <c r="AT151" s="4" t="s">
        <v>49</v>
      </c>
    </row>
    <row r="152" spans="1:46" ht="105" hidden="1" x14ac:dyDescent="0.25">
      <c r="A152" s="4">
        <v>35650950</v>
      </c>
      <c r="B152" s="4" t="str">
        <f>"30473758"</f>
        <v>30473758</v>
      </c>
      <c r="C152" s="4" t="str">
        <f t="shared" si="17"/>
        <v>700100070001</v>
      </c>
      <c r="D152" s="4">
        <v>425297</v>
      </c>
      <c r="E152" s="4" t="s">
        <v>132</v>
      </c>
      <c r="F152" s="4" t="s">
        <v>316</v>
      </c>
      <c r="G152" s="4" t="str">
        <f>"5CD9437JBS"</f>
        <v>5CD9437JBS</v>
      </c>
      <c r="H152" s="4" t="str">
        <f>"5CD9437JBS"</f>
        <v>5CD9437JBS</v>
      </c>
      <c r="I152" s="4" t="str">
        <f>"HP / PROCESADOR INTEL CORE I7-8565U / COLOR PLOMO"</f>
        <v>HP / PROCESADOR INTEL CORE I7-8565U / COLOR PLOMO</v>
      </c>
      <c r="J152" s="4" t="s">
        <v>49</v>
      </c>
      <c r="K152" s="4"/>
      <c r="L152" s="9">
        <v>1423.52</v>
      </c>
      <c r="M152" s="4" t="s">
        <v>49</v>
      </c>
      <c r="N152" s="4" t="s">
        <v>362</v>
      </c>
      <c r="O152" s="4" t="s">
        <v>318</v>
      </c>
      <c r="P152" s="4" t="s">
        <v>135</v>
      </c>
      <c r="Q152" s="4" t="s">
        <v>54</v>
      </c>
      <c r="R152" s="4" t="s">
        <v>55</v>
      </c>
      <c r="S152" s="4" t="s">
        <v>56</v>
      </c>
      <c r="T152" s="4">
        <v>6</v>
      </c>
      <c r="U152" s="4" t="s">
        <v>57</v>
      </c>
      <c r="V152" s="4">
        <v>97459</v>
      </c>
      <c r="W152" s="4" t="s">
        <v>58</v>
      </c>
      <c r="X152" s="4">
        <v>1719443135</v>
      </c>
      <c r="Y152" s="4" t="s">
        <v>109</v>
      </c>
      <c r="Z152" s="4" t="s">
        <v>55</v>
      </c>
      <c r="AA152" s="4" t="s">
        <v>136</v>
      </c>
      <c r="AB152" s="4" t="s">
        <v>137</v>
      </c>
      <c r="AC152" s="4" t="s">
        <v>73</v>
      </c>
      <c r="AD152" s="4" t="s">
        <v>73</v>
      </c>
      <c r="AE152" s="4" t="s">
        <v>73</v>
      </c>
      <c r="AF152" s="4" t="s">
        <v>55</v>
      </c>
      <c r="AG152" s="4" t="s">
        <v>316</v>
      </c>
      <c r="AH152" s="4">
        <v>840107</v>
      </c>
      <c r="AI152" s="4" t="s">
        <v>312</v>
      </c>
      <c r="AJ152" s="4" t="s">
        <v>49</v>
      </c>
      <c r="AK152" s="5">
        <v>44874.711180555554</v>
      </c>
      <c r="AL152" s="6">
        <v>43796</v>
      </c>
      <c r="AM152" s="6">
        <v>44890</v>
      </c>
      <c r="AN152" s="4">
        <v>3</v>
      </c>
      <c r="AO152" s="6">
        <v>44890</v>
      </c>
      <c r="AP152" s="9">
        <v>1423.52</v>
      </c>
      <c r="AQ152" s="9">
        <v>142.35</v>
      </c>
      <c r="AR152" s="9">
        <v>142.35</v>
      </c>
      <c r="AS152" s="9">
        <v>1281.17</v>
      </c>
      <c r="AT152" s="4" t="s">
        <v>49</v>
      </c>
    </row>
    <row r="153" spans="1:46" ht="105" hidden="1" x14ac:dyDescent="0.25">
      <c r="A153" s="4">
        <v>35650951</v>
      </c>
      <c r="B153" s="4" t="str">
        <f>"30473759"</f>
        <v>30473759</v>
      </c>
      <c r="C153" s="4" t="str">
        <f t="shared" si="17"/>
        <v>700100070001</v>
      </c>
      <c r="D153" s="4">
        <v>425297</v>
      </c>
      <c r="E153" s="4" t="s">
        <v>132</v>
      </c>
      <c r="F153" s="4" t="s">
        <v>316</v>
      </c>
      <c r="G153" s="4" t="str">
        <f>"5CD9437JBP"</f>
        <v>5CD9437JBP</v>
      </c>
      <c r="H153" s="4" t="str">
        <f>"5CD9437JBP"</f>
        <v>5CD9437JBP</v>
      </c>
      <c r="I153" s="4" t="str">
        <f>"HP / PROCESADOR INTEL CORE I7-8565U / COLOR PLOMO"</f>
        <v>HP / PROCESADOR INTEL CORE I7-8565U / COLOR PLOMO</v>
      </c>
      <c r="J153" s="4" t="s">
        <v>49</v>
      </c>
      <c r="K153" s="4"/>
      <c r="L153" s="9">
        <v>1423.52</v>
      </c>
      <c r="M153" s="4" t="s">
        <v>49</v>
      </c>
      <c r="N153" s="4" t="s">
        <v>68</v>
      </c>
      <c r="O153" s="4" t="s">
        <v>318</v>
      </c>
      <c r="P153" s="4" t="s">
        <v>135</v>
      </c>
      <c r="Q153" s="4" t="s">
        <v>54</v>
      </c>
      <c r="R153" s="4" t="s">
        <v>55</v>
      </c>
      <c r="S153" s="4" t="s">
        <v>56</v>
      </c>
      <c r="T153" s="4">
        <v>6</v>
      </c>
      <c r="U153" s="4" t="s">
        <v>57</v>
      </c>
      <c r="V153" s="4">
        <v>97459</v>
      </c>
      <c r="W153" s="4" t="s">
        <v>58</v>
      </c>
      <c r="X153" s="4">
        <v>1717662512</v>
      </c>
      <c r="Y153" s="4" t="s">
        <v>71</v>
      </c>
      <c r="Z153" s="4" t="s">
        <v>55</v>
      </c>
      <c r="AA153" s="4" t="s">
        <v>136</v>
      </c>
      <c r="AB153" s="4" t="s">
        <v>137</v>
      </c>
      <c r="AC153" s="4" t="s">
        <v>73</v>
      </c>
      <c r="AD153" s="4" t="s">
        <v>73</v>
      </c>
      <c r="AE153" s="4" t="s">
        <v>73</v>
      </c>
      <c r="AF153" s="4" t="s">
        <v>55</v>
      </c>
      <c r="AG153" s="4" t="s">
        <v>316</v>
      </c>
      <c r="AH153" s="4">
        <v>840107</v>
      </c>
      <c r="AI153" s="4" t="s">
        <v>312</v>
      </c>
      <c r="AJ153" s="4" t="s">
        <v>49</v>
      </c>
      <c r="AK153" s="5">
        <v>44874.711180555554</v>
      </c>
      <c r="AL153" s="6">
        <v>43796</v>
      </c>
      <c r="AM153" s="6">
        <v>44890</v>
      </c>
      <c r="AN153" s="4">
        <v>3</v>
      </c>
      <c r="AO153" s="6">
        <v>44890</v>
      </c>
      <c r="AP153" s="9">
        <v>1423.52</v>
      </c>
      <c r="AQ153" s="9">
        <v>142.35</v>
      </c>
      <c r="AR153" s="9">
        <v>142.35</v>
      </c>
      <c r="AS153" s="9">
        <v>1281.17</v>
      </c>
      <c r="AT153" s="4" t="s">
        <v>49</v>
      </c>
    </row>
    <row r="154" spans="1:46" ht="105" hidden="1" x14ac:dyDescent="0.25">
      <c r="A154" s="4">
        <v>35650953</v>
      </c>
      <c r="B154" s="4" t="str">
        <f>"30473761"</f>
        <v>30473761</v>
      </c>
      <c r="C154" s="4" t="str">
        <f t="shared" si="17"/>
        <v>700100070001</v>
      </c>
      <c r="D154" s="4">
        <v>425297</v>
      </c>
      <c r="E154" s="4" t="s">
        <v>132</v>
      </c>
      <c r="F154" s="4" t="s">
        <v>316</v>
      </c>
      <c r="G154" s="4" t="str">
        <f>"5CD9437JC1"</f>
        <v>5CD9437JC1</v>
      </c>
      <c r="H154" s="4" t="str">
        <f>"5CD9437JC1"</f>
        <v>5CD9437JC1</v>
      </c>
      <c r="I154" s="4" t="str">
        <f>"HP / PROCESADOR INTEL CORE I7-8565U / COLOR PLOMO"</f>
        <v>HP / PROCESADOR INTEL CORE I7-8565U / COLOR PLOMO</v>
      </c>
      <c r="J154" s="4" t="s">
        <v>49</v>
      </c>
      <c r="K154" s="4"/>
      <c r="L154" s="9">
        <v>1423.52</v>
      </c>
      <c r="M154" s="4" t="s">
        <v>49</v>
      </c>
      <c r="N154" s="4" t="s">
        <v>68</v>
      </c>
      <c r="O154" s="4" t="s">
        <v>318</v>
      </c>
      <c r="P154" s="4" t="s">
        <v>135</v>
      </c>
      <c r="Q154" s="4" t="s">
        <v>54</v>
      </c>
      <c r="R154" s="4" t="s">
        <v>55</v>
      </c>
      <c r="S154" s="4" t="s">
        <v>56</v>
      </c>
      <c r="T154" s="4">
        <v>6</v>
      </c>
      <c r="U154" s="4" t="s">
        <v>57</v>
      </c>
      <c r="V154" s="4">
        <v>97459</v>
      </c>
      <c r="W154" s="4" t="s">
        <v>58</v>
      </c>
      <c r="X154" s="4">
        <v>1709796500</v>
      </c>
      <c r="Y154" s="4" t="s">
        <v>157</v>
      </c>
      <c r="Z154" s="4" t="s">
        <v>55</v>
      </c>
      <c r="AA154" s="4" t="s">
        <v>136</v>
      </c>
      <c r="AB154" s="4" t="s">
        <v>137</v>
      </c>
      <c r="AC154" s="4" t="s">
        <v>73</v>
      </c>
      <c r="AD154" s="4" t="s">
        <v>73</v>
      </c>
      <c r="AE154" s="4" t="s">
        <v>73</v>
      </c>
      <c r="AF154" s="4" t="s">
        <v>55</v>
      </c>
      <c r="AG154" s="4" t="s">
        <v>316</v>
      </c>
      <c r="AH154" s="4">
        <v>840107</v>
      </c>
      <c r="AI154" s="4" t="s">
        <v>312</v>
      </c>
      <c r="AJ154" s="4" t="s">
        <v>49</v>
      </c>
      <c r="AK154" s="5">
        <v>44874.711180555554</v>
      </c>
      <c r="AL154" s="6">
        <v>43796</v>
      </c>
      <c r="AM154" s="6">
        <v>44890</v>
      </c>
      <c r="AN154" s="4">
        <v>3</v>
      </c>
      <c r="AO154" s="6">
        <v>44890</v>
      </c>
      <c r="AP154" s="9">
        <v>1423.52</v>
      </c>
      <c r="AQ154" s="9">
        <v>142.35</v>
      </c>
      <c r="AR154" s="9">
        <v>142.35</v>
      </c>
      <c r="AS154" s="9">
        <v>1281.17</v>
      </c>
      <c r="AT154" s="4" t="s">
        <v>49</v>
      </c>
    </row>
    <row r="155" spans="1:46" ht="105" hidden="1" x14ac:dyDescent="0.25">
      <c r="A155" s="4">
        <v>35650954</v>
      </c>
      <c r="B155" s="4" t="str">
        <f>"30473762"</f>
        <v>30473762</v>
      </c>
      <c r="C155" s="4" t="str">
        <f t="shared" si="17"/>
        <v>700100070001</v>
      </c>
      <c r="D155" s="4">
        <v>425297</v>
      </c>
      <c r="E155" s="4" t="s">
        <v>132</v>
      </c>
      <c r="F155" s="4" t="s">
        <v>316</v>
      </c>
      <c r="G155" s="4" t="str">
        <f>"5CD9437JB2"</f>
        <v>5CD9437JB2</v>
      </c>
      <c r="H155" s="4" t="str">
        <f>"5CD9437JB2"</f>
        <v>5CD9437JB2</v>
      </c>
      <c r="I155" s="4" t="str">
        <f>"HP / PROCESADOR INTEL CORE I7-8565U / COLOR PLOMO"</f>
        <v>HP / PROCESADOR INTEL CORE I7-8565U / COLOR PLOMO</v>
      </c>
      <c r="J155" s="4" t="s">
        <v>49</v>
      </c>
      <c r="K155" s="4"/>
      <c r="L155" s="9">
        <v>1423.52</v>
      </c>
      <c r="M155" s="4" t="s">
        <v>49</v>
      </c>
      <c r="N155" s="4" t="s">
        <v>68</v>
      </c>
      <c r="O155" s="4" t="s">
        <v>318</v>
      </c>
      <c r="P155" s="4" t="s">
        <v>135</v>
      </c>
      <c r="Q155" s="4" t="s">
        <v>54</v>
      </c>
      <c r="R155" s="4" t="s">
        <v>55</v>
      </c>
      <c r="S155" s="4" t="s">
        <v>56</v>
      </c>
      <c r="T155" s="4">
        <v>6</v>
      </c>
      <c r="U155" s="4" t="s">
        <v>57</v>
      </c>
      <c r="V155" s="4">
        <v>97459</v>
      </c>
      <c r="W155" s="4" t="s">
        <v>58</v>
      </c>
      <c r="X155" s="4">
        <v>102936168</v>
      </c>
      <c r="Y155" s="4" t="s">
        <v>59</v>
      </c>
      <c r="Z155" s="4" t="s">
        <v>55</v>
      </c>
      <c r="AA155" s="4" t="s">
        <v>136</v>
      </c>
      <c r="AB155" s="4" t="s">
        <v>137</v>
      </c>
      <c r="AC155" s="4" t="s">
        <v>73</v>
      </c>
      <c r="AD155" s="4" t="s">
        <v>73</v>
      </c>
      <c r="AE155" s="4" t="s">
        <v>73</v>
      </c>
      <c r="AF155" s="4" t="s">
        <v>55</v>
      </c>
      <c r="AG155" s="4" t="s">
        <v>316</v>
      </c>
      <c r="AH155" s="4">
        <v>840107</v>
      </c>
      <c r="AI155" s="4" t="s">
        <v>312</v>
      </c>
      <c r="AJ155" s="4" t="s">
        <v>49</v>
      </c>
      <c r="AK155" s="5">
        <v>44874.711180555554</v>
      </c>
      <c r="AL155" s="6">
        <v>43796</v>
      </c>
      <c r="AM155" s="6">
        <v>44890</v>
      </c>
      <c r="AN155" s="4">
        <v>3</v>
      </c>
      <c r="AO155" s="6">
        <v>44890</v>
      </c>
      <c r="AP155" s="9">
        <v>1423.52</v>
      </c>
      <c r="AQ155" s="9">
        <v>142.35</v>
      </c>
      <c r="AR155" s="9">
        <v>142.35</v>
      </c>
      <c r="AS155" s="9">
        <v>1281.17</v>
      </c>
      <c r="AT155" s="4" t="s">
        <v>49</v>
      </c>
    </row>
    <row r="156" spans="1:46" ht="45" hidden="1" x14ac:dyDescent="0.25">
      <c r="A156" s="4">
        <v>35650955</v>
      </c>
      <c r="B156" s="4" t="str">
        <f>"30473763"</f>
        <v>30473763</v>
      </c>
      <c r="C156" s="4" t="str">
        <f t="shared" si="17"/>
        <v>700100070001</v>
      </c>
      <c r="D156" s="4">
        <v>425297</v>
      </c>
      <c r="E156" s="4" t="s">
        <v>132</v>
      </c>
      <c r="F156" s="4" t="s">
        <v>316</v>
      </c>
      <c r="G156" s="4" t="str">
        <f>"X2SR003766"</f>
        <v>X2SR003766</v>
      </c>
      <c r="H156" s="4" t="str">
        <f>"X2SR003766"</f>
        <v>X2SR003766</v>
      </c>
      <c r="I156" s="4" t="str">
        <f>"FALSO"</f>
        <v>FALSO</v>
      </c>
      <c r="J156" s="4" t="s">
        <v>49</v>
      </c>
      <c r="K156" s="4"/>
      <c r="L156" s="9">
        <v>2356.48</v>
      </c>
      <c r="M156" s="4" t="s">
        <v>49</v>
      </c>
      <c r="N156" s="4" t="s">
        <v>68</v>
      </c>
      <c r="O156" s="4" t="s">
        <v>318</v>
      </c>
      <c r="P156" s="4" t="s">
        <v>135</v>
      </c>
      <c r="Q156" s="4" t="s">
        <v>54</v>
      </c>
      <c r="R156" s="4" t="s">
        <v>55</v>
      </c>
      <c r="S156" s="4" t="s">
        <v>56</v>
      </c>
      <c r="T156" s="4">
        <v>6</v>
      </c>
      <c r="U156" s="4" t="s">
        <v>57</v>
      </c>
      <c r="V156" s="4">
        <v>97459</v>
      </c>
      <c r="W156" s="4" t="s">
        <v>58</v>
      </c>
      <c r="X156" s="4">
        <v>401265012</v>
      </c>
      <c r="Y156" s="4" t="s">
        <v>130</v>
      </c>
      <c r="Z156" s="4" t="s">
        <v>55</v>
      </c>
      <c r="AA156" s="4" t="s">
        <v>136</v>
      </c>
      <c r="AB156" s="4" t="s">
        <v>137</v>
      </c>
      <c r="AC156" s="4" t="s">
        <v>73</v>
      </c>
      <c r="AD156" s="4" t="s">
        <v>73</v>
      </c>
      <c r="AE156" s="4" t="s">
        <v>73</v>
      </c>
      <c r="AF156" s="4" t="s">
        <v>55</v>
      </c>
      <c r="AG156" s="4" t="s">
        <v>364</v>
      </c>
      <c r="AH156" s="4">
        <v>840107</v>
      </c>
      <c r="AI156" s="4" t="s">
        <v>312</v>
      </c>
      <c r="AJ156" s="4" t="s">
        <v>49</v>
      </c>
      <c r="AK156" s="5">
        <v>44874.711180555554</v>
      </c>
      <c r="AL156" s="6">
        <v>43796</v>
      </c>
      <c r="AM156" s="6">
        <v>44890</v>
      </c>
      <c r="AN156" s="4">
        <v>3</v>
      </c>
      <c r="AO156" s="6">
        <v>44890</v>
      </c>
      <c r="AP156" s="9">
        <v>2356.48</v>
      </c>
      <c r="AQ156" s="9">
        <v>235.65</v>
      </c>
      <c r="AR156" s="9">
        <v>235.65</v>
      </c>
      <c r="AS156" s="9">
        <v>2120.83</v>
      </c>
      <c r="AT156" s="4" t="s">
        <v>49</v>
      </c>
    </row>
    <row r="157" spans="1:46" ht="75" hidden="1" x14ac:dyDescent="0.25">
      <c r="A157" s="4">
        <v>37544489</v>
      </c>
      <c r="B157" s="4" t="str">
        <f>""</f>
        <v/>
      </c>
      <c r="C157" s="4" t="str">
        <f t="shared" si="17"/>
        <v>700100070001</v>
      </c>
      <c r="D157" s="4">
        <v>3</v>
      </c>
      <c r="E157" s="4" t="s">
        <v>132</v>
      </c>
      <c r="F157" s="4" t="s">
        <v>316</v>
      </c>
      <c r="G157" s="4" t="str">
        <f>"37544489"</f>
        <v>37544489</v>
      </c>
      <c r="H157" s="4" t="str">
        <f>""</f>
        <v/>
      </c>
      <c r="I157" s="4" t="str">
        <f>""</f>
        <v/>
      </c>
      <c r="J157" s="4"/>
      <c r="K157" s="4"/>
      <c r="L157" s="9">
        <v>874</v>
      </c>
      <c r="M157" s="4"/>
      <c r="N157" s="4" t="s">
        <v>113</v>
      </c>
      <c r="O157" s="4" t="s">
        <v>367</v>
      </c>
      <c r="P157" s="4" t="s">
        <v>368</v>
      </c>
      <c r="Q157" s="4" t="s">
        <v>54</v>
      </c>
      <c r="R157" s="4" t="s">
        <v>55</v>
      </c>
      <c r="S157" s="4" t="s">
        <v>56</v>
      </c>
      <c r="T157" s="4">
        <v>6</v>
      </c>
      <c r="U157" s="4" t="s">
        <v>57</v>
      </c>
      <c r="V157" s="4">
        <v>97459</v>
      </c>
      <c r="W157" s="4" t="s">
        <v>58</v>
      </c>
      <c r="X157" s="4">
        <v>1717662512</v>
      </c>
      <c r="Y157" s="4" t="s">
        <v>71</v>
      </c>
      <c r="Z157" s="4" t="s">
        <v>55</v>
      </c>
      <c r="AA157" s="4" t="s">
        <v>60</v>
      </c>
      <c r="AB157" s="4" t="s">
        <v>61</v>
      </c>
      <c r="AC157" s="4">
        <v>507</v>
      </c>
      <c r="AD157" s="4" t="s">
        <v>62</v>
      </c>
      <c r="AE157" s="4" t="s">
        <v>55</v>
      </c>
      <c r="AF157" s="4" t="s">
        <v>55</v>
      </c>
      <c r="AG157" s="4" t="s">
        <v>369</v>
      </c>
      <c r="AH157" s="4">
        <v>840107</v>
      </c>
      <c r="AI157" s="4" t="s">
        <v>312</v>
      </c>
      <c r="AJ157" s="4" t="s">
        <v>55</v>
      </c>
      <c r="AK157" s="5">
        <v>45176</v>
      </c>
      <c r="AL157" s="6">
        <v>45244</v>
      </c>
      <c r="AM157" s="6">
        <v>46081</v>
      </c>
      <c r="AN157" s="4">
        <v>3</v>
      </c>
      <c r="AO157" s="6">
        <v>46338</v>
      </c>
      <c r="AP157" s="9">
        <v>874</v>
      </c>
      <c r="AQ157" s="9">
        <v>87.4</v>
      </c>
      <c r="AR157" s="9">
        <v>272.02</v>
      </c>
      <c r="AS157" s="9">
        <v>601.98</v>
      </c>
      <c r="AT157" s="4" t="s">
        <v>49</v>
      </c>
    </row>
    <row r="158" spans="1:46" ht="75" hidden="1" x14ac:dyDescent="0.25">
      <c r="A158" s="4">
        <v>37544490</v>
      </c>
      <c r="B158" s="4" t="str">
        <f>""</f>
        <v/>
      </c>
      <c r="C158" s="4" t="str">
        <f t="shared" si="17"/>
        <v>700100070001</v>
      </c>
      <c r="D158" s="4">
        <v>3</v>
      </c>
      <c r="E158" s="4" t="s">
        <v>132</v>
      </c>
      <c r="F158" s="4" t="s">
        <v>316</v>
      </c>
      <c r="G158" s="4" t="str">
        <f>"37544490"</f>
        <v>37544490</v>
      </c>
      <c r="H158" s="4" t="str">
        <f>""</f>
        <v/>
      </c>
      <c r="I158" s="4" t="str">
        <f>""</f>
        <v/>
      </c>
      <c r="J158" s="4"/>
      <c r="K158" s="4"/>
      <c r="L158" s="9">
        <v>874</v>
      </c>
      <c r="M158" s="4"/>
      <c r="N158" s="4" t="s">
        <v>113</v>
      </c>
      <c r="O158" s="4" t="s">
        <v>367</v>
      </c>
      <c r="P158" s="4" t="s">
        <v>368</v>
      </c>
      <c r="Q158" s="4" t="s">
        <v>54</v>
      </c>
      <c r="R158" s="4" t="s">
        <v>55</v>
      </c>
      <c r="S158" s="4" t="s">
        <v>56</v>
      </c>
      <c r="T158" s="4">
        <v>6</v>
      </c>
      <c r="U158" s="4" t="s">
        <v>57</v>
      </c>
      <c r="V158" s="4">
        <v>97459</v>
      </c>
      <c r="W158" s="4" t="s">
        <v>58</v>
      </c>
      <c r="X158" s="4">
        <v>1717662512</v>
      </c>
      <c r="Y158" s="4" t="s">
        <v>71</v>
      </c>
      <c r="Z158" s="4" t="s">
        <v>55</v>
      </c>
      <c r="AA158" s="4" t="s">
        <v>60</v>
      </c>
      <c r="AB158" s="4" t="s">
        <v>61</v>
      </c>
      <c r="AC158" s="4">
        <v>507</v>
      </c>
      <c r="AD158" s="4" t="s">
        <v>62</v>
      </c>
      <c r="AE158" s="4" t="s">
        <v>55</v>
      </c>
      <c r="AF158" s="4" t="s">
        <v>55</v>
      </c>
      <c r="AG158" s="4" t="s">
        <v>369</v>
      </c>
      <c r="AH158" s="4">
        <v>840107</v>
      </c>
      <c r="AI158" s="4" t="s">
        <v>312</v>
      </c>
      <c r="AJ158" s="4" t="s">
        <v>55</v>
      </c>
      <c r="AK158" s="5">
        <v>45176</v>
      </c>
      <c r="AL158" s="6">
        <v>45244</v>
      </c>
      <c r="AM158" s="6">
        <v>46081</v>
      </c>
      <c r="AN158" s="4">
        <v>3</v>
      </c>
      <c r="AO158" s="6">
        <v>46338</v>
      </c>
      <c r="AP158" s="9">
        <v>874</v>
      </c>
      <c r="AQ158" s="9">
        <v>87.4</v>
      </c>
      <c r="AR158" s="9">
        <v>272.02</v>
      </c>
      <c r="AS158" s="9">
        <v>601.98</v>
      </c>
      <c r="AT158" s="4" t="s">
        <v>49</v>
      </c>
    </row>
    <row r="159" spans="1:46" ht="75" hidden="1" x14ac:dyDescent="0.25">
      <c r="A159" s="4">
        <v>37544491</v>
      </c>
      <c r="B159" s="4" t="str">
        <f>""</f>
        <v/>
      </c>
      <c r="C159" s="4" t="str">
        <f t="shared" si="17"/>
        <v>700100070001</v>
      </c>
      <c r="D159" s="4">
        <v>3</v>
      </c>
      <c r="E159" s="4" t="s">
        <v>132</v>
      </c>
      <c r="F159" s="4" t="s">
        <v>316</v>
      </c>
      <c r="G159" s="4" t="str">
        <f>"37544491"</f>
        <v>37544491</v>
      </c>
      <c r="H159" s="4" t="str">
        <f>""</f>
        <v/>
      </c>
      <c r="I159" s="4" t="str">
        <f>""</f>
        <v/>
      </c>
      <c r="J159" s="4"/>
      <c r="K159" s="4"/>
      <c r="L159" s="9">
        <v>874</v>
      </c>
      <c r="M159" s="4"/>
      <c r="N159" s="4" t="s">
        <v>113</v>
      </c>
      <c r="O159" s="4" t="s">
        <v>367</v>
      </c>
      <c r="P159" s="4" t="s">
        <v>368</v>
      </c>
      <c r="Q159" s="4" t="s">
        <v>54</v>
      </c>
      <c r="R159" s="4" t="s">
        <v>55</v>
      </c>
      <c r="S159" s="4" t="s">
        <v>56</v>
      </c>
      <c r="T159" s="4">
        <v>6</v>
      </c>
      <c r="U159" s="4" t="s">
        <v>57</v>
      </c>
      <c r="V159" s="4">
        <v>97459</v>
      </c>
      <c r="W159" s="4" t="s">
        <v>58</v>
      </c>
      <c r="X159" s="4">
        <v>1725514309</v>
      </c>
      <c r="Y159" s="4" t="s">
        <v>197</v>
      </c>
      <c r="Z159" s="4" t="s">
        <v>55</v>
      </c>
      <c r="AA159" s="4" t="s">
        <v>60</v>
      </c>
      <c r="AB159" s="4" t="s">
        <v>61</v>
      </c>
      <c r="AC159" s="4">
        <v>507</v>
      </c>
      <c r="AD159" s="4" t="s">
        <v>62</v>
      </c>
      <c r="AE159" s="4" t="s">
        <v>55</v>
      </c>
      <c r="AF159" s="4" t="s">
        <v>55</v>
      </c>
      <c r="AG159" s="4" t="s">
        <v>369</v>
      </c>
      <c r="AH159" s="4">
        <v>840107</v>
      </c>
      <c r="AI159" s="4" t="s">
        <v>312</v>
      </c>
      <c r="AJ159" s="4" t="s">
        <v>55</v>
      </c>
      <c r="AK159" s="5">
        <v>45176</v>
      </c>
      <c r="AL159" s="6">
        <v>45244</v>
      </c>
      <c r="AM159" s="6">
        <v>46081</v>
      </c>
      <c r="AN159" s="4">
        <v>3</v>
      </c>
      <c r="AO159" s="6">
        <v>46338</v>
      </c>
      <c r="AP159" s="9">
        <v>874</v>
      </c>
      <c r="AQ159" s="9">
        <v>87.4</v>
      </c>
      <c r="AR159" s="9">
        <v>272.02</v>
      </c>
      <c r="AS159" s="9">
        <v>601.98</v>
      </c>
      <c r="AT159" s="4" t="s">
        <v>49</v>
      </c>
    </row>
    <row r="160" spans="1:46" ht="105" hidden="1" x14ac:dyDescent="0.25">
      <c r="A160" s="4">
        <v>38194951</v>
      </c>
      <c r="B160" s="4" t="str">
        <f>""</f>
        <v/>
      </c>
      <c r="C160" s="4" t="str">
        <f t="shared" si="17"/>
        <v>700100070001</v>
      </c>
      <c r="D160" s="4">
        <v>4</v>
      </c>
      <c r="E160" s="4" t="s">
        <v>132</v>
      </c>
      <c r="F160" s="4" t="s">
        <v>316</v>
      </c>
      <c r="G160" s="4" t="str">
        <f>"38194951"</f>
        <v>38194951</v>
      </c>
      <c r="H160" s="4" t="str">
        <f>"PROBOOK 440 G10"</f>
        <v>PROBOOK 440 G10</v>
      </c>
      <c r="I160" s="4" t="str">
        <f>"HP"</f>
        <v>HP</v>
      </c>
      <c r="J160" s="4" t="s">
        <v>49</v>
      </c>
      <c r="K160" s="4"/>
      <c r="L160" s="9">
        <v>1229</v>
      </c>
      <c r="M160" s="4" t="s">
        <v>49</v>
      </c>
      <c r="N160" s="4" t="s">
        <v>68</v>
      </c>
      <c r="O160" s="4" t="s">
        <v>373</v>
      </c>
      <c r="P160" s="4" t="s">
        <v>374</v>
      </c>
      <c r="Q160" s="4" t="s">
        <v>54</v>
      </c>
      <c r="R160" s="4" t="s">
        <v>55</v>
      </c>
      <c r="S160" s="4" t="s">
        <v>56</v>
      </c>
      <c r="T160" s="4">
        <v>6</v>
      </c>
      <c r="U160" s="4" t="s">
        <v>57</v>
      </c>
      <c r="V160" s="4">
        <v>97459</v>
      </c>
      <c r="W160" s="4" t="s">
        <v>58</v>
      </c>
      <c r="X160" s="4">
        <v>1726517327</v>
      </c>
      <c r="Y160" s="4" t="s">
        <v>152</v>
      </c>
      <c r="Z160" s="4" t="s">
        <v>55</v>
      </c>
      <c r="AA160" s="4" t="s">
        <v>375</v>
      </c>
      <c r="AB160" s="4" t="s">
        <v>61</v>
      </c>
      <c r="AC160" s="4" t="s">
        <v>73</v>
      </c>
      <c r="AD160" s="4" t="s">
        <v>62</v>
      </c>
      <c r="AE160" s="4" t="s">
        <v>55</v>
      </c>
      <c r="AF160" s="4" t="s">
        <v>55</v>
      </c>
      <c r="AG160" s="4" t="s">
        <v>376</v>
      </c>
      <c r="AH160" s="4">
        <v>0</v>
      </c>
      <c r="AI160" s="4" t="s">
        <v>312</v>
      </c>
      <c r="AJ160" s="4" t="s">
        <v>55</v>
      </c>
      <c r="AK160" s="5">
        <v>45323</v>
      </c>
      <c r="AL160" s="6">
        <v>45323</v>
      </c>
      <c r="AM160" s="6">
        <v>46081</v>
      </c>
      <c r="AN160" s="4">
        <v>3</v>
      </c>
      <c r="AO160" s="6">
        <v>46417</v>
      </c>
      <c r="AP160" s="9">
        <v>1229</v>
      </c>
      <c r="AQ160" s="9">
        <v>122.9</v>
      </c>
      <c r="AR160" s="9">
        <v>462.39</v>
      </c>
      <c r="AS160" s="9">
        <v>766.61</v>
      </c>
      <c r="AT160" s="4" t="s">
        <v>49</v>
      </c>
    </row>
    <row r="161" spans="1:46" ht="105" hidden="1" x14ac:dyDescent="0.25">
      <c r="A161" s="4">
        <v>38194252</v>
      </c>
      <c r="B161" s="4" t="str">
        <f>""</f>
        <v/>
      </c>
      <c r="C161" s="4" t="str">
        <f t="shared" si="17"/>
        <v>700100070001</v>
      </c>
      <c r="D161" s="4">
        <v>1</v>
      </c>
      <c r="E161" s="4" t="s">
        <v>132</v>
      </c>
      <c r="F161" s="4" t="s">
        <v>316</v>
      </c>
      <c r="G161" s="4" t="str">
        <f>"38194252"</f>
        <v>38194252</v>
      </c>
      <c r="H161" s="4" t="s">
        <v>380</v>
      </c>
      <c r="I161" s="4" t="str">
        <f>"TOSHIBA"</f>
        <v>TOSHIBA</v>
      </c>
      <c r="J161" s="4" t="s">
        <v>49</v>
      </c>
      <c r="K161" s="4"/>
      <c r="L161" s="9">
        <v>874</v>
      </c>
      <c r="M161" s="4" t="s">
        <v>49</v>
      </c>
      <c r="N161" s="4" t="s">
        <v>113</v>
      </c>
      <c r="O161" s="4" t="s">
        <v>373</v>
      </c>
      <c r="P161" s="4" t="s">
        <v>381</v>
      </c>
      <c r="Q161" s="4" t="s">
        <v>54</v>
      </c>
      <c r="R161" s="4" t="s">
        <v>55</v>
      </c>
      <c r="S161" s="4" t="s">
        <v>56</v>
      </c>
      <c r="T161" s="4">
        <v>6</v>
      </c>
      <c r="U161" s="4" t="s">
        <v>57</v>
      </c>
      <c r="V161" s="4">
        <v>97459</v>
      </c>
      <c r="W161" s="4" t="s">
        <v>58</v>
      </c>
      <c r="X161" s="4">
        <v>1717662512</v>
      </c>
      <c r="Y161" s="4" t="s">
        <v>71</v>
      </c>
      <c r="Z161" s="4" t="s">
        <v>55</v>
      </c>
      <c r="AA161" s="4" t="s">
        <v>375</v>
      </c>
      <c r="AB161" s="4" t="s">
        <v>61</v>
      </c>
      <c r="AC161" s="4" t="s">
        <v>73</v>
      </c>
      <c r="AD161" s="4" t="s">
        <v>62</v>
      </c>
      <c r="AE161" s="4" t="s">
        <v>55</v>
      </c>
      <c r="AF161" s="4" t="s">
        <v>55</v>
      </c>
      <c r="AG161" s="4" t="s">
        <v>382</v>
      </c>
      <c r="AH161" s="4">
        <v>0</v>
      </c>
      <c r="AI161" s="4" t="s">
        <v>312</v>
      </c>
      <c r="AJ161" s="4" t="s">
        <v>55</v>
      </c>
      <c r="AK161" s="5">
        <v>45320</v>
      </c>
      <c r="AL161" s="6">
        <v>45320</v>
      </c>
      <c r="AM161" s="6">
        <v>46081</v>
      </c>
      <c r="AN161" s="4">
        <v>3</v>
      </c>
      <c r="AO161" s="6">
        <v>46414</v>
      </c>
      <c r="AP161" s="9">
        <v>874</v>
      </c>
      <c r="AQ161" s="9">
        <v>87.4</v>
      </c>
      <c r="AR161" s="9">
        <v>326.61</v>
      </c>
      <c r="AS161" s="9">
        <v>547.39</v>
      </c>
      <c r="AT161" s="4" t="s">
        <v>49</v>
      </c>
    </row>
    <row r="162" spans="1:46" ht="90" hidden="1" x14ac:dyDescent="0.25">
      <c r="A162" s="4">
        <v>38795816</v>
      </c>
      <c r="B162" s="4" t="str">
        <f>""</f>
        <v/>
      </c>
      <c r="C162" s="4" t="str">
        <f t="shared" si="17"/>
        <v>700100070001</v>
      </c>
      <c r="D162" s="4">
        <v>7</v>
      </c>
      <c r="E162" s="4" t="s">
        <v>132</v>
      </c>
      <c r="F162" s="4" t="s">
        <v>316</v>
      </c>
      <c r="G162" s="4" t="str">
        <f>"38795816"</f>
        <v>38795816</v>
      </c>
      <c r="H162" s="4" t="str">
        <f>""</f>
        <v/>
      </c>
      <c r="I162" s="4" t="str">
        <f>""</f>
        <v/>
      </c>
      <c r="J162" s="4"/>
      <c r="K162" s="4"/>
      <c r="L162" s="9">
        <v>1340</v>
      </c>
      <c r="M162" s="4"/>
      <c r="N162" s="4" t="s">
        <v>174</v>
      </c>
      <c r="O162" s="4" t="s">
        <v>114</v>
      </c>
      <c r="P162" s="4" t="s">
        <v>385</v>
      </c>
      <c r="Q162" s="4" t="s">
        <v>54</v>
      </c>
      <c r="R162" s="4" t="s">
        <v>55</v>
      </c>
      <c r="S162" s="4" t="s">
        <v>56</v>
      </c>
      <c r="T162" s="4">
        <v>6</v>
      </c>
      <c r="U162" s="4" t="s">
        <v>57</v>
      </c>
      <c r="V162" s="4">
        <v>97459</v>
      </c>
      <c r="W162" s="4" t="s">
        <v>58</v>
      </c>
      <c r="X162" s="4">
        <v>1723600886</v>
      </c>
      <c r="Y162" s="4" t="s">
        <v>214</v>
      </c>
      <c r="Z162" s="4" t="s">
        <v>55</v>
      </c>
      <c r="AA162" s="4" t="s">
        <v>116</v>
      </c>
      <c r="AB162" s="4" t="s">
        <v>61</v>
      </c>
      <c r="AC162" s="4" t="s">
        <v>73</v>
      </c>
      <c r="AD162" s="4" t="s">
        <v>62</v>
      </c>
      <c r="AE162" s="4" t="s">
        <v>55</v>
      </c>
      <c r="AF162" s="4" t="s">
        <v>55</v>
      </c>
      <c r="AG162" s="4" t="s">
        <v>386</v>
      </c>
      <c r="AH162" s="4">
        <v>0</v>
      </c>
      <c r="AI162" s="4" t="s">
        <v>312</v>
      </c>
      <c r="AJ162" s="4" t="s">
        <v>55</v>
      </c>
      <c r="AK162" s="5">
        <v>45490</v>
      </c>
      <c r="AL162" s="6">
        <v>45490</v>
      </c>
      <c r="AM162" s="6">
        <v>46081</v>
      </c>
      <c r="AN162" s="4">
        <v>3</v>
      </c>
      <c r="AO162" s="6">
        <v>46584</v>
      </c>
      <c r="AP162" s="9">
        <v>1340</v>
      </c>
      <c r="AQ162" s="9">
        <v>134</v>
      </c>
      <c r="AR162" s="9">
        <v>688.01</v>
      </c>
      <c r="AS162" s="9">
        <v>651.99</v>
      </c>
      <c r="AT162" s="4" t="s">
        <v>49</v>
      </c>
    </row>
    <row r="163" spans="1:46" ht="90" hidden="1" x14ac:dyDescent="0.25">
      <c r="A163" s="4">
        <v>38795817</v>
      </c>
      <c r="B163" s="4" t="str">
        <f>""</f>
        <v/>
      </c>
      <c r="C163" s="4" t="str">
        <f t="shared" si="17"/>
        <v>700100070001</v>
      </c>
      <c r="D163" s="4">
        <v>7</v>
      </c>
      <c r="E163" s="4" t="s">
        <v>132</v>
      </c>
      <c r="F163" s="4" t="s">
        <v>316</v>
      </c>
      <c r="G163" s="4" t="str">
        <f>"38795817"</f>
        <v>38795817</v>
      </c>
      <c r="H163" s="4" t="str">
        <f>""</f>
        <v/>
      </c>
      <c r="I163" s="4" t="str">
        <f>""</f>
        <v/>
      </c>
      <c r="J163" s="4"/>
      <c r="K163" s="4"/>
      <c r="L163" s="9">
        <v>1415</v>
      </c>
      <c r="M163" s="4"/>
      <c r="N163" s="4" t="s">
        <v>113</v>
      </c>
      <c r="O163" s="4" t="s">
        <v>114</v>
      </c>
      <c r="P163" s="4" t="s">
        <v>385</v>
      </c>
      <c r="Q163" s="4" t="s">
        <v>54</v>
      </c>
      <c r="R163" s="4" t="s">
        <v>55</v>
      </c>
      <c r="S163" s="4" t="s">
        <v>56</v>
      </c>
      <c r="T163" s="4">
        <v>6</v>
      </c>
      <c r="U163" s="4" t="s">
        <v>57</v>
      </c>
      <c r="V163" s="4">
        <v>97459</v>
      </c>
      <c r="W163" s="4" t="s">
        <v>58</v>
      </c>
      <c r="X163" s="4">
        <v>1717662512</v>
      </c>
      <c r="Y163" s="4" t="s">
        <v>71</v>
      </c>
      <c r="Z163" s="4" t="s">
        <v>55</v>
      </c>
      <c r="AA163" s="4" t="s">
        <v>116</v>
      </c>
      <c r="AB163" s="4" t="s">
        <v>61</v>
      </c>
      <c r="AC163" s="4" t="s">
        <v>73</v>
      </c>
      <c r="AD163" s="4" t="s">
        <v>62</v>
      </c>
      <c r="AE163" s="4" t="s">
        <v>55</v>
      </c>
      <c r="AF163" s="4" t="s">
        <v>55</v>
      </c>
      <c r="AG163" s="4" t="s">
        <v>386</v>
      </c>
      <c r="AH163" s="4">
        <v>0</v>
      </c>
      <c r="AI163" s="4" t="s">
        <v>312</v>
      </c>
      <c r="AJ163" s="4" t="s">
        <v>55</v>
      </c>
      <c r="AK163" s="5">
        <v>45490</v>
      </c>
      <c r="AL163" s="6">
        <v>45490</v>
      </c>
      <c r="AM163" s="6">
        <v>46081</v>
      </c>
      <c r="AN163" s="4">
        <v>2</v>
      </c>
      <c r="AO163" s="6">
        <v>46219</v>
      </c>
      <c r="AP163" s="9">
        <v>1415</v>
      </c>
      <c r="AQ163" s="9">
        <v>141.5</v>
      </c>
      <c r="AR163" s="9">
        <v>382.21</v>
      </c>
      <c r="AS163" s="9">
        <v>1032.79</v>
      </c>
      <c r="AT163" s="4" t="s">
        <v>49</v>
      </c>
    </row>
    <row r="164" spans="1:46" ht="60" x14ac:dyDescent="0.25">
      <c r="A164" s="4">
        <v>40565282</v>
      </c>
      <c r="B164" s="4" t="str">
        <f>""</f>
        <v/>
      </c>
      <c r="C164" s="4" t="str">
        <f t="shared" si="17"/>
        <v>700100070001</v>
      </c>
      <c r="D164" s="4">
        <v>18</v>
      </c>
      <c r="E164" s="4" t="s">
        <v>132</v>
      </c>
      <c r="F164" s="4" t="s">
        <v>316</v>
      </c>
      <c r="G164" s="4" t="str">
        <f>"PC1A0XLE"</f>
        <v>PC1A0XLE</v>
      </c>
      <c r="H164" s="4" t="str">
        <f>"THINKPAD T490"</f>
        <v>THINKPAD T490</v>
      </c>
      <c r="I164" s="4" t="str">
        <f>"LENOVO"</f>
        <v>LENOVO</v>
      </c>
      <c r="J164" s="4"/>
      <c r="K164" s="4"/>
      <c r="L164" s="9">
        <v>1194</v>
      </c>
      <c r="M164" s="4"/>
      <c r="N164" s="4" t="s">
        <v>113</v>
      </c>
      <c r="O164" s="4" t="s">
        <v>255</v>
      </c>
      <c r="P164" s="4" t="s">
        <v>392</v>
      </c>
      <c r="Q164" s="4" t="s">
        <v>54</v>
      </c>
      <c r="R164" s="4" t="s">
        <v>55</v>
      </c>
      <c r="S164" s="4" t="s">
        <v>56</v>
      </c>
      <c r="T164" s="4">
        <v>6</v>
      </c>
      <c r="U164" s="4" t="s">
        <v>57</v>
      </c>
      <c r="V164" s="4">
        <v>97459</v>
      </c>
      <c r="W164" s="4" t="s">
        <v>58</v>
      </c>
      <c r="X164" s="4">
        <v>1717662512</v>
      </c>
      <c r="Y164" s="4" t="s">
        <v>71</v>
      </c>
      <c r="Z164" s="4" t="s">
        <v>55</v>
      </c>
      <c r="AA164" s="4" t="s">
        <v>116</v>
      </c>
      <c r="AB164" s="4" t="s">
        <v>61</v>
      </c>
      <c r="AC164" s="4" t="s">
        <v>73</v>
      </c>
      <c r="AD164" s="4" t="s">
        <v>62</v>
      </c>
      <c r="AE164" s="4" t="s">
        <v>55</v>
      </c>
      <c r="AF164" s="4" t="s">
        <v>55</v>
      </c>
      <c r="AG164" s="4" t="s">
        <v>393</v>
      </c>
      <c r="AH164" s="4">
        <v>0</v>
      </c>
      <c r="AI164" s="4" t="s">
        <v>312</v>
      </c>
      <c r="AJ164" s="4" t="s">
        <v>55</v>
      </c>
      <c r="AK164" s="5">
        <v>45967</v>
      </c>
      <c r="AL164" s="6">
        <v>45967</v>
      </c>
      <c r="AM164" s="6">
        <v>46081</v>
      </c>
      <c r="AN164" s="4">
        <v>3</v>
      </c>
      <c r="AO164" s="6">
        <v>47061</v>
      </c>
      <c r="AP164" s="9">
        <v>1194</v>
      </c>
      <c r="AQ164" s="9">
        <v>119.4</v>
      </c>
      <c r="AR164" s="9">
        <v>1081.1500000000001</v>
      </c>
      <c r="AS164" s="9">
        <v>112.85</v>
      </c>
      <c r="AT164" s="4" t="s">
        <v>49</v>
      </c>
    </row>
    <row r="165" spans="1:46" ht="60" x14ac:dyDescent="0.25">
      <c r="A165" s="4">
        <v>40565758</v>
      </c>
      <c r="B165" s="4" t="str">
        <f>""</f>
        <v/>
      </c>
      <c r="C165" s="4" t="str">
        <f t="shared" si="17"/>
        <v>700100070001</v>
      </c>
      <c r="D165" s="4">
        <v>32</v>
      </c>
      <c r="E165" s="4" t="s">
        <v>132</v>
      </c>
      <c r="F165" s="4" t="s">
        <v>316</v>
      </c>
      <c r="G165" s="4" t="str">
        <f>"SPC1EWQVW"</f>
        <v>SPC1EWQVW</v>
      </c>
      <c r="H165" s="4" t="str">
        <f>"THINKPAD T490"</f>
        <v>THINKPAD T490</v>
      </c>
      <c r="I165" s="4" t="str">
        <f>"LENOVO"</f>
        <v>LENOVO</v>
      </c>
      <c r="J165" s="4"/>
      <c r="K165" s="4"/>
      <c r="L165" s="9">
        <v>1183</v>
      </c>
      <c r="M165" s="4"/>
      <c r="N165" s="4" t="s">
        <v>113</v>
      </c>
      <c r="O165" s="4" t="s">
        <v>255</v>
      </c>
      <c r="P165" s="4" t="s">
        <v>392</v>
      </c>
      <c r="Q165" s="4" t="s">
        <v>54</v>
      </c>
      <c r="R165" s="4" t="s">
        <v>55</v>
      </c>
      <c r="S165" s="4" t="s">
        <v>56</v>
      </c>
      <c r="T165" s="4">
        <v>6</v>
      </c>
      <c r="U165" s="4" t="s">
        <v>57</v>
      </c>
      <c r="V165" s="4">
        <v>97459</v>
      </c>
      <c r="W165" s="4" t="s">
        <v>58</v>
      </c>
      <c r="X165" s="4">
        <v>1717662512</v>
      </c>
      <c r="Y165" s="4" t="s">
        <v>71</v>
      </c>
      <c r="Z165" s="4" t="s">
        <v>55</v>
      </c>
      <c r="AA165" s="4" t="s">
        <v>116</v>
      </c>
      <c r="AB165" s="4" t="s">
        <v>61</v>
      </c>
      <c r="AC165" s="4" t="s">
        <v>73</v>
      </c>
      <c r="AD165" s="4" t="s">
        <v>62</v>
      </c>
      <c r="AE165" s="4" t="s">
        <v>55</v>
      </c>
      <c r="AF165" s="4" t="s">
        <v>55</v>
      </c>
      <c r="AG165" s="4" t="s">
        <v>397</v>
      </c>
      <c r="AH165" s="4">
        <v>0</v>
      </c>
      <c r="AI165" s="4" t="s">
        <v>312</v>
      </c>
      <c r="AJ165" s="4" t="s">
        <v>55</v>
      </c>
      <c r="AK165" s="5">
        <v>45967</v>
      </c>
      <c r="AL165" s="6">
        <v>45967</v>
      </c>
      <c r="AM165" s="6">
        <v>46081</v>
      </c>
      <c r="AN165" s="4">
        <v>3</v>
      </c>
      <c r="AO165" s="6">
        <v>47061</v>
      </c>
      <c r="AP165" s="9">
        <v>1183</v>
      </c>
      <c r="AQ165" s="9">
        <v>118.3</v>
      </c>
      <c r="AR165" s="9">
        <v>1071.18</v>
      </c>
      <c r="AS165" s="9">
        <v>111.82</v>
      </c>
      <c r="AT165" s="4" t="s">
        <v>49</v>
      </c>
    </row>
    <row r="166" spans="1:46" ht="60" x14ac:dyDescent="0.25">
      <c r="A166" s="4">
        <v>40569016</v>
      </c>
      <c r="B166" s="4" t="str">
        <f>""</f>
        <v/>
      </c>
      <c r="C166" s="4" t="str">
        <f t="shared" si="17"/>
        <v>700100070001</v>
      </c>
      <c r="D166" s="4">
        <v>34</v>
      </c>
      <c r="E166" s="4" t="s">
        <v>132</v>
      </c>
      <c r="F166" s="4" t="s">
        <v>316</v>
      </c>
      <c r="G166" s="4" t="str">
        <f>"SPC1EWQWS"</f>
        <v>SPC1EWQWS</v>
      </c>
      <c r="H166" s="4" t="str">
        <f>"THINKPAD T490"</f>
        <v>THINKPAD T490</v>
      </c>
      <c r="I166" s="4" t="str">
        <f>"LENOVO"</f>
        <v>LENOVO</v>
      </c>
      <c r="J166" s="4"/>
      <c r="K166" s="4"/>
      <c r="L166" s="9">
        <v>1183</v>
      </c>
      <c r="M166" s="4"/>
      <c r="N166" s="4" t="s">
        <v>113</v>
      </c>
      <c r="O166" s="4" t="s">
        <v>255</v>
      </c>
      <c r="P166" s="4" t="s">
        <v>392</v>
      </c>
      <c r="Q166" s="4" t="s">
        <v>54</v>
      </c>
      <c r="R166" s="4" t="s">
        <v>55</v>
      </c>
      <c r="S166" s="4" t="s">
        <v>56</v>
      </c>
      <c r="T166" s="4">
        <v>6</v>
      </c>
      <c r="U166" s="4" t="s">
        <v>57</v>
      </c>
      <c r="V166" s="4">
        <v>97459</v>
      </c>
      <c r="W166" s="4" t="s">
        <v>58</v>
      </c>
      <c r="X166" s="4">
        <v>1717662512</v>
      </c>
      <c r="Y166" s="4" t="s">
        <v>71</v>
      </c>
      <c r="Z166" s="4" t="s">
        <v>55</v>
      </c>
      <c r="AA166" s="4" t="s">
        <v>116</v>
      </c>
      <c r="AB166" s="4" t="s">
        <v>61</v>
      </c>
      <c r="AC166" s="4" t="s">
        <v>73</v>
      </c>
      <c r="AD166" s="4" t="s">
        <v>62</v>
      </c>
      <c r="AE166" s="4" t="s">
        <v>55</v>
      </c>
      <c r="AF166" s="4" t="s">
        <v>55</v>
      </c>
      <c r="AG166" s="4" t="s">
        <v>401</v>
      </c>
      <c r="AH166" s="4">
        <v>0</v>
      </c>
      <c r="AI166" s="4" t="s">
        <v>312</v>
      </c>
      <c r="AJ166" s="4" t="s">
        <v>55</v>
      </c>
      <c r="AK166" s="5">
        <v>45968</v>
      </c>
      <c r="AL166" s="6">
        <v>45968</v>
      </c>
      <c r="AM166" s="6">
        <v>46081</v>
      </c>
      <c r="AN166" s="4">
        <v>3</v>
      </c>
      <c r="AO166" s="6">
        <v>47062</v>
      </c>
      <c r="AP166" s="9">
        <v>1183</v>
      </c>
      <c r="AQ166" s="9">
        <v>118.3</v>
      </c>
      <c r="AR166" s="9">
        <v>1072.1500000000001</v>
      </c>
      <c r="AS166" s="9">
        <v>110.85</v>
      </c>
      <c r="AT166" s="4" t="s">
        <v>49</v>
      </c>
    </row>
    <row r="167" spans="1:46" ht="60" x14ac:dyDescent="0.25">
      <c r="A167" s="4">
        <v>40586259</v>
      </c>
      <c r="B167" s="4" t="str">
        <f>""</f>
        <v/>
      </c>
      <c r="C167" s="4" t="str">
        <f>"700100960001"</f>
        <v>700100960001</v>
      </c>
      <c r="D167" s="4">
        <v>74</v>
      </c>
      <c r="E167" s="4" t="s">
        <v>132</v>
      </c>
      <c r="F167" s="4" t="s">
        <v>404</v>
      </c>
      <c r="G167" s="4" t="str">
        <f>"1D7134"</f>
        <v>1D7134</v>
      </c>
      <c r="H167" s="4" t="str">
        <f>"BLACKWIRE 3220-C3220 USB-A"</f>
        <v>BLACKWIRE 3220-C3220 USB-A</v>
      </c>
      <c r="I167" s="4" t="str">
        <f>"PLANTRONICS"</f>
        <v>PLANTRONICS</v>
      </c>
      <c r="J167" s="4"/>
      <c r="K167" s="4"/>
      <c r="L167" s="9">
        <v>67.5</v>
      </c>
      <c r="M167" s="4"/>
      <c r="N167" s="4" t="s">
        <v>406</v>
      </c>
      <c r="O167" s="4" t="s">
        <v>255</v>
      </c>
      <c r="P167" s="4" t="s">
        <v>407</v>
      </c>
      <c r="Q167" s="4" t="s">
        <v>54</v>
      </c>
      <c r="R167" s="4" t="s">
        <v>55</v>
      </c>
      <c r="S167" s="4" t="s">
        <v>56</v>
      </c>
      <c r="T167" s="4">
        <v>6</v>
      </c>
      <c r="U167" s="4" t="s">
        <v>57</v>
      </c>
      <c r="V167" s="4">
        <v>97459</v>
      </c>
      <c r="W167" s="4" t="s">
        <v>58</v>
      </c>
      <c r="X167" s="4">
        <v>1717662512</v>
      </c>
      <c r="Y167" s="4" t="s">
        <v>71</v>
      </c>
      <c r="Z167" s="4" t="s">
        <v>55</v>
      </c>
      <c r="AA167" s="4" t="s">
        <v>116</v>
      </c>
      <c r="AB167" s="4" t="s">
        <v>61</v>
      </c>
      <c r="AC167" s="4" t="s">
        <v>73</v>
      </c>
      <c r="AD167" s="4" t="s">
        <v>62</v>
      </c>
      <c r="AE167" s="4" t="s">
        <v>55</v>
      </c>
      <c r="AF167" s="4" t="s">
        <v>55</v>
      </c>
      <c r="AG167" s="4" t="s">
        <v>408</v>
      </c>
      <c r="AH167" s="4">
        <v>0</v>
      </c>
      <c r="AI167" s="4" t="s">
        <v>312</v>
      </c>
      <c r="AJ167" s="4" t="s">
        <v>55</v>
      </c>
      <c r="AK167" s="5">
        <v>45972</v>
      </c>
      <c r="AL167" s="6">
        <v>45972</v>
      </c>
      <c r="AM167" s="6">
        <v>46081</v>
      </c>
      <c r="AN167" s="4">
        <v>3</v>
      </c>
      <c r="AO167" s="6">
        <v>47066</v>
      </c>
      <c r="AP167" s="9">
        <v>67.5</v>
      </c>
      <c r="AQ167" s="9">
        <v>6.75</v>
      </c>
      <c r="AR167" s="9">
        <v>61.4</v>
      </c>
      <c r="AS167" s="9">
        <v>6.1</v>
      </c>
      <c r="AT167" s="4" t="s">
        <v>49</v>
      </c>
    </row>
    <row r="168" spans="1:46" ht="60" x14ac:dyDescent="0.25">
      <c r="A168" s="4">
        <v>40582190</v>
      </c>
      <c r="B168" s="4" t="str">
        <f>""</f>
        <v/>
      </c>
      <c r="C168" s="4" t="str">
        <f>"700100440001"</f>
        <v>700100440001</v>
      </c>
      <c r="D168" s="4">
        <v>58</v>
      </c>
      <c r="E168" s="4" t="s">
        <v>132</v>
      </c>
      <c r="F168" s="4" t="s">
        <v>412</v>
      </c>
      <c r="G168" s="4" t="str">
        <f>"CNC9192TFN"</f>
        <v>CNC9192TFN</v>
      </c>
      <c r="H168" s="4" t="str">
        <f>"ELITEDISPLAY E243d 23,8"</f>
        <v>ELITEDISPLAY E243d 23,8</v>
      </c>
      <c r="I168" s="4" t="str">
        <f>"HP"</f>
        <v>HP</v>
      </c>
      <c r="J168" s="4"/>
      <c r="K168" s="4"/>
      <c r="L168" s="9">
        <v>298</v>
      </c>
      <c r="M168" s="4"/>
      <c r="N168" s="4" t="s">
        <v>233</v>
      </c>
      <c r="O168" s="4" t="s">
        <v>255</v>
      </c>
      <c r="P168" s="4" t="s">
        <v>413</v>
      </c>
      <c r="Q168" s="4" t="s">
        <v>54</v>
      </c>
      <c r="R168" s="4" t="s">
        <v>55</v>
      </c>
      <c r="S168" s="4" t="s">
        <v>56</v>
      </c>
      <c r="T168" s="4">
        <v>6</v>
      </c>
      <c r="U168" s="4" t="s">
        <v>57</v>
      </c>
      <c r="V168" s="4">
        <v>97459</v>
      </c>
      <c r="W168" s="4" t="s">
        <v>58</v>
      </c>
      <c r="X168" s="4">
        <v>1722641816</v>
      </c>
      <c r="Y168" s="4" t="s">
        <v>222</v>
      </c>
      <c r="Z168" s="4" t="s">
        <v>55</v>
      </c>
      <c r="AA168" s="4" t="s">
        <v>116</v>
      </c>
      <c r="AB168" s="4" t="s">
        <v>61</v>
      </c>
      <c r="AC168" s="4" t="s">
        <v>73</v>
      </c>
      <c r="AD168" s="4" t="s">
        <v>62</v>
      </c>
      <c r="AE168" s="4" t="s">
        <v>55</v>
      </c>
      <c r="AF168" s="4" t="s">
        <v>55</v>
      </c>
      <c r="AG168" s="4" t="s">
        <v>414</v>
      </c>
      <c r="AH168" s="4">
        <v>0</v>
      </c>
      <c r="AI168" s="4" t="s">
        <v>312</v>
      </c>
      <c r="AJ168" s="4" t="s">
        <v>55</v>
      </c>
      <c r="AK168" s="5">
        <v>45971</v>
      </c>
      <c r="AL168" s="6">
        <v>45971</v>
      </c>
      <c r="AM168" s="6">
        <v>46081</v>
      </c>
      <c r="AN168" s="4">
        <v>3</v>
      </c>
      <c r="AO168" s="6">
        <v>47065</v>
      </c>
      <c r="AP168" s="9">
        <v>298</v>
      </c>
      <c r="AQ168" s="9">
        <v>29.8</v>
      </c>
      <c r="AR168" s="9">
        <v>270.81</v>
      </c>
      <c r="AS168" s="9">
        <v>27.19</v>
      </c>
      <c r="AT168" s="4" t="s">
        <v>49</v>
      </c>
    </row>
    <row r="169" spans="1:46" ht="60" x14ac:dyDescent="0.25">
      <c r="A169" s="4">
        <v>40588668</v>
      </c>
      <c r="B169" s="4" t="str">
        <f>""</f>
        <v/>
      </c>
      <c r="C169" s="4" t="str">
        <f>"700100960001"</f>
        <v>700100960001</v>
      </c>
      <c r="D169" s="4">
        <v>84</v>
      </c>
      <c r="E169" s="4" t="s">
        <v>132</v>
      </c>
      <c r="F169" s="4" t="s">
        <v>404</v>
      </c>
      <c r="G169" s="4" t="str">
        <f>"2V1H5V"</f>
        <v>2V1H5V</v>
      </c>
      <c r="H169" s="4" t="str">
        <f>"BLACKWIRE 3220-C3220 USB-A"</f>
        <v>BLACKWIRE 3220-C3220 USB-A</v>
      </c>
      <c r="I169" s="4" t="str">
        <f>"PLANTRONICS"</f>
        <v>PLANTRONICS</v>
      </c>
      <c r="J169" s="4"/>
      <c r="K169" s="4"/>
      <c r="L169" s="9">
        <v>45.4</v>
      </c>
      <c r="M169" s="4"/>
      <c r="N169" s="4" t="s">
        <v>406</v>
      </c>
      <c r="O169" s="4" t="s">
        <v>255</v>
      </c>
      <c r="P169" s="4" t="s">
        <v>407</v>
      </c>
      <c r="Q169" s="4" t="s">
        <v>54</v>
      </c>
      <c r="R169" s="4" t="s">
        <v>55</v>
      </c>
      <c r="S169" s="4" t="s">
        <v>56</v>
      </c>
      <c r="T169" s="4">
        <v>6</v>
      </c>
      <c r="U169" s="4" t="s">
        <v>57</v>
      </c>
      <c r="V169" s="4">
        <v>97459</v>
      </c>
      <c r="W169" s="4" t="s">
        <v>58</v>
      </c>
      <c r="X169" s="4">
        <v>1717662512</v>
      </c>
      <c r="Y169" s="4" t="s">
        <v>71</v>
      </c>
      <c r="Z169" s="4" t="s">
        <v>55</v>
      </c>
      <c r="AA169" s="4" t="s">
        <v>116</v>
      </c>
      <c r="AB169" s="4" t="s">
        <v>61</v>
      </c>
      <c r="AC169" s="4" t="s">
        <v>73</v>
      </c>
      <c r="AD169" s="4" t="s">
        <v>62</v>
      </c>
      <c r="AE169" s="4" t="s">
        <v>55</v>
      </c>
      <c r="AF169" s="4" t="s">
        <v>55</v>
      </c>
      <c r="AG169" s="4" t="s">
        <v>419</v>
      </c>
      <c r="AH169" s="4">
        <v>0</v>
      </c>
      <c r="AI169" s="4" t="s">
        <v>312</v>
      </c>
      <c r="AJ169" s="4" t="s">
        <v>55</v>
      </c>
      <c r="AK169" s="5">
        <v>45973</v>
      </c>
      <c r="AL169" s="6">
        <v>45973</v>
      </c>
      <c r="AM169" s="6">
        <v>46081</v>
      </c>
      <c r="AN169" s="4">
        <v>3</v>
      </c>
      <c r="AO169" s="6">
        <v>47067</v>
      </c>
      <c r="AP169" s="9">
        <v>45.4</v>
      </c>
      <c r="AQ169" s="9">
        <v>4.54</v>
      </c>
      <c r="AR169" s="9">
        <v>41.34</v>
      </c>
      <c r="AS169" s="9">
        <v>4.0599999999999996</v>
      </c>
      <c r="AT169" s="4" t="s">
        <v>49</v>
      </c>
    </row>
    <row r="170" spans="1:46" ht="75" x14ac:dyDescent="0.25">
      <c r="A170" s="4">
        <v>40631281</v>
      </c>
      <c r="B170" s="4" t="str">
        <f>""</f>
        <v/>
      </c>
      <c r="C170" s="4" t="str">
        <f>"700100070001"</f>
        <v>700100070001</v>
      </c>
      <c r="D170" s="4">
        <v>124</v>
      </c>
      <c r="E170" s="4" t="s">
        <v>132</v>
      </c>
      <c r="F170" s="4" t="s">
        <v>316</v>
      </c>
      <c r="G170" s="4" t="str">
        <f>"DBD4CS3"</f>
        <v>DBD4CS3</v>
      </c>
      <c r="H170" s="4" t="str">
        <f>"LATITUDE 3520"</f>
        <v>LATITUDE 3520</v>
      </c>
      <c r="I170" s="4" t="str">
        <f>"DELL"</f>
        <v>DELL</v>
      </c>
      <c r="J170" s="4"/>
      <c r="K170" s="4"/>
      <c r="L170" s="9">
        <v>1135</v>
      </c>
      <c r="M170" s="4"/>
      <c r="N170" s="4" t="s">
        <v>113</v>
      </c>
      <c r="O170" s="4" t="s">
        <v>114</v>
      </c>
      <c r="P170" s="4" t="s">
        <v>423</v>
      </c>
      <c r="Q170" s="4" t="s">
        <v>54</v>
      </c>
      <c r="R170" s="4" t="s">
        <v>55</v>
      </c>
      <c r="S170" s="4" t="s">
        <v>56</v>
      </c>
      <c r="T170" s="4">
        <v>6</v>
      </c>
      <c r="U170" s="4" t="s">
        <v>57</v>
      </c>
      <c r="V170" s="4">
        <v>97459</v>
      </c>
      <c r="W170" s="4" t="s">
        <v>58</v>
      </c>
      <c r="X170" s="4">
        <v>1717662512</v>
      </c>
      <c r="Y170" s="4" t="s">
        <v>71</v>
      </c>
      <c r="Z170" s="4" t="s">
        <v>55</v>
      </c>
      <c r="AA170" s="4" t="s">
        <v>116</v>
      </c>
      <c r="AB170" s="4" t="s">
        <v>61</v>
      </c>
      <c r="AC170" s="4" t="s">
        <v>73</v>
      </c>
      <c r="AD170" s="4" t="s">
        <v>62</v>
      </c>
      <c r="AE170" s="4" t="s">
        <v>55</v>
      </c>
      <c r="AF170" s="4" t="s">
        <v>55</v>
      </c>
      <c r="AG170" s="4" t="s">
        <v>424</v>
      </c>
      <c r="AH170" s="4">
        <v>0</v>
      </c>
      <c r="AI170" s="4" t="s">
        <v>312</v>
      </c>
      <c r="AJ170" s="4" t="s">
        <v>55</v>
      </c>
      <c r="AK170" s="5">
        <v>45985</v>
      </c>
      <c r="AL170" s="6">
        <v>45985</v>
      </c>
      <c r="AM170" s="6">
        <v>46081</v>
      </c>
      <c r="AN170" s="4">
        <v>3</v>
      </c>
      <c r="AO170" s="6">
        <v>47079</v>
      </c>
      <c r="AP170" s="9">
        <v>1225</v>
      </c>
      <c r="AQ170" s="9">
        <v>122.5</v>
      </c>
      <c r="AR170" s="9">
        <v>1127.3399999999999</v>
      </c>
      <c r="AS170" s="9">
        <v>97.66</v>
      </c>
      <c r="AT170" s="4" t="s">
        <v>49</v>
      </c>
    </row>
    <row r="171" spans="1:46" ht="60" x14ac:dyDescent="0.25">
      <c r="A171" s="4">
        <v>40581310</v>
      </c>
      <c r="B171" s="4" t="str">
        <f>""</f>
        <v/>
      </c>
      <c r="C171" s="4" t="str">
        <f>"700100440001"</f>
        <v>700100440001</v>
      </c>
      <c r="D171" s="4">
        <v>50</v>
      </c>
      <c r="E171" s="4" t="s">
        <v>132</v>
      </c>
      <c r="F171" s="4" t="s">
        <v>412</v>
      </c>
      <c r="G171" s="4" t="str">
        <f>"CNC9192T5N"</f>
        <v>CNC9192T5N</v>
      </c>
      <c r="H171" s="4" t="str">
        <f>"ELITEDISPLAY E243D 23,8"</f>
        <v>ELITEDISPLAY E243D 23,8</v>
      </c>
      <c r="I171" s="4" t="str">
        <f>"HP"</f>
        <v>HP</v>
      </c>
      <c r="J171" s="4"/>
      <c r="K171" s="4"/>
      <c r="L171" s="9">
        <v>298</v>
      </c>
      <c r="M171" s="4"/>
      <c r="N171" s="4" t="s">
        <v>233</v>
      </c>
      <c r="O171" s="4" t="s">
        <v>255</v>
      </c>
      <c r="P171" s="4" t="s">
        <v>428</v>
      </c>
      <c r="Q171" s="4" t="s">
        <v>54</v>
      </c>
      <c r="R171" s="4" t="s">
        <v>55</v>
      </c>
      <c r="S171" s="4" t="s">
        <v>56</v>
      </c>
      <c r="T171" s="4">
        <v>6</v>
      </c>
      <c r="U171" s="4" t="s">
        <v>57</v>
      </c>
      <c r="V171" s="4">
        <v>97459</v>
      </c>
      <c r="W171" s="4" t="s">
        <v>58</v>
      </c>
      <c r="X171" s="4">
        <v>1717662512</v>
      </c>
      <c r="Y171" s="4" t="s">
        <v>71</v>
      </c>
      <c r="Z171" s="4" t="s">
        <v>55</v>
      </c>
      <c r="AA171" s="4" t="s">
        <v>116</v>
      </c>
      <c r="AB171" s="4" t="s">
        <v>61</v>
      </c>
      <c r="AC171" s="4" t="s">
        <v>73</v>
      </c>
      <c r="AD171" s="4" t="s">
        <v>62</v>
      </c>
      <c r="AE171" s="4" t="s">
        <v>55</v>
      </c>
      <c r="AF171" s="4" t="s">
        <v>55</v>
      </c>
      <c r="AG171" s="4" t="s">
        <v>429</v>
      </c>
      <c r="AH171" s="4">
        <v>0</v>
      </c>
      <c r="AI171" s="4" t="s">
        <v>312</v>
      </c>
      <c r="AJ171" s="4" t="s">
        <v>55</v>
      </c>
      <c r="AK171" s="5">
        <v>45971</v>
      </c>
      <c r="AL171" s="6">
        <v>45971</v>
      </c>
      <c r="AM171" s="6">
        <v>46081</v>
      </c>
      <c r="AN171" s="4">
        <v>3</v>
      </c>
      <c r="AO171" s="6">
        <v>47065</v>
      </c>
      <c r="AP171" s="9">
        <v>298</v>
      </c>
      <c r="AQ171" s="9">
        <v>29.8</v>
      </c>
      <c r="AR171" s="9">
        <v>270.81</v>
      </c>
      <c r="AS171" s="9">
        <v>27.19</v>
      </c>
      <c r="AT171" s="4" t="s">
        <v>49</v>
      </c>
    </row>
    <row r="172" spans="1:46" ht="60" x14ac:dyDescent="0.25">
      <c r="A172" s="4">
        <v>40570827</v>
      </c>
      <c r="B172" s="4" t="str">
        <f>""</f>
        <v/>
      </c>
      <c r="C172" s="4" t="str">
        <f>"700100070001"</f>
        <v>700100070001</v>
      </c>
      <c r="D172" s="4">
        <v>37</v>
      </c>
      <c r="E172" s="4" t="s">
        <v>132</v>
      </c>
      <c r="F172" s="4" t="s">
        <v>316</v>
      </c>
      <c r="G172" s="4" t="str">
        <f>"SPC1EWQWL"</f>
        <v>SPC1EWQWL</v>
      </c>
      <c r="H172" s="4" t="str">
        <f>"THINKPAD T490"</f>
        <v>THINKPAD T490</v>
      </c>
      <c r="I172" s="4" t="str">
        <f>"LENOVO"</f>
        <v>LENOVO</v>
      </c>
      <c r="J172" s="4"/>
      <c r="K172" s="4"/>
      <c r="L172" s="9">
        <v>1183</v>
      </c>
      <c r="M172" s="4"/>
      <c r="N172" s="4" t="s">
        <v>113</v>
      </c>
      <c r="O172" s="4" t="s">
        <v>255</v>
      </c>
      <c r="P172" s="4" t="s">
        <v>392</v>
      </c>
      <c r="Q172" s="4" t="s">
        <v>54</v>
      </c>
      <c r="R172" s="4" t="s">
        <v>55</v>
      </c>
      <c r="S172" s="4" t="s">
        <v>56</v>
      </c>
      <c r="T172" s="4">
        <v>6</v>
      </c>
      <c r="U172" s="4" t="s">
        <v>57</v>
      </c>
      <c r="V172" s="4">
        <v>97459</v>
      </c>
      <c r="W172" s="4" t="s">
        <v>58</v>
      </c>
      <c r="X172" s="4">
        <v>1717662512</v>
      </c>
      <c r="Y172" s="4" t="s">
        <v>71</v>
      </c>
      <c r="Z172" s="4" t="s">
        <v>55</v>
      </c>
      <c r="AA172" s="4" t="s">
        <v>116</v>
      </c>
      <c r="AB172" s="4" t="s">
        <v>61</v>
      </c>
      <c r="AC172" s="4" t="s">
        <v>73</v>
      </c>
      <c r="AD172" s="4" t="s">
        <v>62</v>
      </c>
      <c r="AE172" s="4" t="s">
        <v>55</v>
      </c>
      <c r="AF172" s="4" t="s">
        <v>55</v>
      </c>
      <c r="AG172" s="4" t="s">
        <v>430</v>
      </c>
      <c r="AH172" s="4">
        <v>0</v>
      </c>
      <c r="AI172" s="4" t="s">
        <v>312</v>
      </c>
      <c r="AJ172" s="4" t="s">
        <v>55</v>
      </c>
      <c r="AK172" s="5">
        <v>45968</v>
      </c>
      <c r="AL172" s="6">
        <v>45968</v>
      </c>
      <c r="AM172" s="6">
        <v>46081</v>
      </c>
      <c r="AN172" s="4">
        <v>3</v>
      </c>
      <c r="AO172" s="6">
        <v>47062</v>
      </c>
      <c r="AP172" s="9">
        <v>1183</v>
      </c>
      <c r="AQ172" s="9">
        <v>118.3</v>
      </c>
      <c r="AR172" s="9">
        <v>1072.1500000000001</v>
      </c>
      <c r="AS172" s="9">
        <v>110.85</v>
      </c>
      <c r="AT172" s="4" t="s">
        <v>49</v>
      </c>
    </row>
    <row r="173" spans="1:46" ht="60" x14ac:dyDescent="0.25">
      <c r="A173" s="4">
        <v>40588663</v>
      </c>
      <c r="B173" s="4" t="str">
        <f>""</f>
        <v/>
      </c>
      <c r="C173" s="4" t="str">
        <f>"700100960001"</f>
        <v>700100960001</v>
      </c>
      <c r="D173" s="4">
        <v>83</v>
      </c>
      <c r="E173" s="4" t="s">
        <v>132</v>
      </c>
      <c r="F173" s="4" t="s">
        <v>404</v>
      </c>
      <c r="G173" s="4" t="str">
        <f>"2RAPCU"</f>
        <v>2RAPCU</v>
      </c>
      <c r="H173" s="4" t="str">
        <f>"BLACKWIRE 3220-C3220 USB-A"</f>
        <v>BLACKWIRE 3220-C3220 USB-A</v>
      </c>
      <c r="I173" s="4" t="str">
        <f>"PLANTRONICS"</f>
        <v>PLANTRONICS</v>
      </c>
      <c r="J173" s="4"/>
      <c r="K173" s="4"/>
      <c r="L173" s="9">
        <v>67.5</v>
      </c>
      <c r="M173" s="4"/>
      <c r="N173" s="4" t="s">
        <v>406</v>
      </c>
      <c r="O173" s="4" t="s">
        <v>255</v>
      </c>
      <c r="P173" s="4" t="s">
        <v>407</v>
      </c>
      <c r="Q173" s="4" t="s">
        <v>54</v>
      </c>
      <c r="R173" s="4" t="s">
        <v>55</v>
      </c>
      <c r="S173" s="4" t="s">
        <v>56</v>
      </c>
      <c r="T173" s="4">
        <v>6</v>
      </c>
      <c r="U173" s="4" t="s">
        <v>57</v>
      </c>
      <c r="V173" s="4">
        <v>97459</v>
      </c>
      <c r="W173" s="4" t="s">
        <v>58</v>
      </c>
      <c r="X173" s="4">
        <v>1717662512</v>
      </c>
      <c r="Y173" s="4" t="s">
        <v>71</v>
      </c>
      <c r="Z173" s="4" t="s">
        <v>55</v>
      </c>
      <c r="AA173" s="4" t="s">
        <v>116</v>
      </c>
      <c r="AB173" s="4" t="s">
        <v>61</v>
      </c>
      <c r="AC173" s="4" t="s">
        <v>73</v>
      </c>
      <c r="AD173" s="4" t="s">
        <v>62</v>
      </c>
      <c r="AE173" s="4" t="s">
        <v>55</v>
      </c>
      <c r="AF173" s="4" t="s">
        <v>55</v>
      </c>
      <c r="AG173" s="4" t="s">
        <v>431</v>
      </c>
      <c r="AH173" s="4">
        <v>0</v>
      </c>
      <c r="AI173" s="4" t="s">
        <v>312</v>
      </c>
      <c r="AJ173" s="4" t="s">
        <v>55</v>
      </c>
      <c r="AK173" s="5">
        <v>45973</v>
      </c>
      <c r="AL173" s="6">
        <v>45973</v>
      </c>
      <c r="AM173" s="6">
        <v>46081</v>
      </c>
      <c r="AN173" s="4">
        <v>3</v>
      </c>
      <c r="AO173" s="6">
        <v>47067</v>
      </c>
      <c r="AP173" s="9">
        <v>67.5</v>
      </c>
      <c r="AQ173" s="9">
        <v>6.75</v>
      </c>
      <c r="AR173" s="9">
        <v>61.46</v>
      </c>
      <c r="AS173" s="9">
        <v>6.04</v>
      </c>
      <c r="AT173" s="4" t="s">
        <v>49</v>
      </c>
    </row>
    <row r="174" spans="1:46" ht="60" x14ac:dyDescent="0.25">
      <c r="A174" s="4">
        <v>40580507</v>
      </c>
      <c r="B174" s="4" t="str">
        <f>""</f>
        <v/>
      </c>
      <c r="C174" s="4" t="str">
        <f>"700100440001"</f>
        <v>700100440001</v>
      </c>
      <c r="D174" s="4">
        <v>48</v>
      </c>
      <c r="E174" s="4" t="s">
        <v>132</v>
      </c>
      <c r="F174" s="4" t="s">
        <v>412</v>
      </c>
      <c r="G174" s="4" t="str">
        <f>"CNC9192TFD"</f>
        <v>CNC9192TFD</v>
      </c>
      <c r="H174" s="4" t="str">
        <f>"ELITEDISPLAY E243D 23,8"</f>
        <v>ELITEDISPLAY E243D 23,8</v>
      </c>
      <c r="I174" s="4" t="str">
        <f>"HP"</f>
        <v>HP</v>
      </c>
      <c r="J174" s="4"/>
      <c r="K174" s="4"/>
      <c r="L174" s="9">
        <v>298</v>
      </c>
      <c r="M174" s="4"/>
      <c r="N174" s="4" t="s">
        <v>233</v>
      </c>
      <c r="O174" s="4" t="s">
        <v>255</v>
      </c>
      <c r="P174" s="4" t="s">
        <v>428</v>
      </c>
      <c r="Q174" s="4" t="s">
        <v>54</v>
      </c>
      <c r="R174" s="4" t="s">
        <v>55</v>
      </c>
      <c r="S174" s="4" t="s">
        <v>56</v>
      </c>
      <c r="T174" s="4">
        <v>6</v>
      </c>
      <c r="U174" s="4" t="s">
        <v>57</v>
      </c>
      <c r="V174" s="4">
        <v>97459</v>
      </c>
      <c r="W174" s="4" t="s">
        <v>58</v>
      </c>
      <c r="X174" s="4">
        <v>1717662512</v>
      </c>
      <c r="Y174" s="4" t="s">
        <v>71</v>
      </c>
      <c r="Z174" s="4" t="s">
        <v>55</v>
      </c>
      <c r="AA174" s="4" t="s">
        <v>116</v>
      </c>
      <c r="AB174" s="4" t="s">
        <v>61</v>
      </c>
      <c r="AC174" s="4" t="s">
        <v>73</v>
      </c>
      <c r="AD174" s="4" t="s">
        <v>62</v>
      </c>
      <c r="AE174" s="4" t="s">
        <v>55</v>
      </c>
      <c r="AF174" s="4" t="s">
        <v>55</v>
      </c>
      <c r="AG174" s="4" t="s">
        <v>434</v>
      </c>
      <c r="AH174" s="4">
        <v>0</v>
      </c>
      <c r="AI174" s="4" t="s">
        <v>312</v>
      </c>
      <c r="AJ174" s="4" t="s">
        <v>55</v>
      </c>
      <c r="AK174" s="5">
        <v>45971</v>
      </c>
      <c r="AL174" s="6">
        <v>45971</v>
      </c>
      <c r="AM174" s="6">
        <v>46081</v>
      </c>
      <c r="AN174" s="4">
        <v>1</v>
      </c>
      <c r="AO174" s="6">
        <v>46335</v>
      </c>
      <c r="AP174" s="9">
        <v>298</v>
      </c>
      <c r="AQ174" s="9">
        <v>29.8</v>
      </c>
      <c r="AR174" s="9">
        <v>216.45</v>
      </c>
      <c r="AS174" s="9">
        <v>81.55</v>
      </c>
      <c r="AT174" s="4" t="s">
        <v>49</v>
      </c>
    </row>
    <row r="175" spans="1:46" ht="75" x14ac:dyDescent="0.25">
      <c r="A175" s="4">
        <v>40631278</v>
      </c>
      <c r="B175" s="4" t="str">
        <f>""</f>
        <v/>
      </c>
      <c r="C175" s="4" t="str">
        <f>"700100070001"</f>
        <v>700100070001</v>
      </c>
      <c r="D175" s="4">
        <v>123</v>
      </c>
      <c r="E175" s="4" t="s">
        <v>132</v>
      </c>
      <c r="F175" s="4" t="s">
        <v>316</v>
      </c>
      <c r="G175" s="4" t="str">
        <f>"CBD4CS3"</f>
        <v>CBD4CS3</v>
      </c>
      <c r="H175" s="4" t="str">
        <f>"LATITUDE 3520"</f>
        <v>LATITUDE 3520</v>
      </c>
      <c r="I175" s="4" t="str">
        <f>"DELL"</f>
        <v>DELL</v>
      </c>
      <c r="J175" s="4"/>
      <c r="K175" s="4"/>
      <c r="L175" s="9">
        <v>1135</v>
      </c>
      <c r="M175" s="4"/>
      <c r="N175" s="4" t="s">
        <v>113</v>
      </c>
      <c r="O175" s="4" t="s">
        <v>114</v>
      </c>
      <c r="P175" s="4" t="s">
        <v>423</v>
      </c>
      <c r="Q175" s="4" t="s">
        <v>54</v>
      </c>
      <c r="R175" s="4" t="s">
        <v>55</v>
      </c>
      <c r="S175" s="4" t="s">
        <v>56</v>
      </c>
      <c r="T175" s="4">
        <v>6</v>
      </c>
      <c r="U175" s="4" t="s">
        <v>57</v>
      </c>
      <c r="V175" s="4">
        <v>97459</v>
      </c>
      <c r="W175" s="4" t="s">
        <v>58</v>
      </c>
      <c r="X175" s="4">
        <v>1717662512</v>
      </c>
      <c r="Y175" s="4" t="s">
        <v>71</v>
      </c>
      <c r="Z175" s="4" t="s">
        <v>55</v>
      </c>
      <c r="AA175" s="4" t="s">
        <v>116</v>
      </c>
      <c r="AB175" s="4" t="s">
        <v>61</v>
      </c>
      <c r="AC175" s="4" t="s">
        <v>73</v>
      </c>
      <c r="AD175" s="4" t="s">
        <v>62</v>
      </c>
      <c r="AE175" s="4" t="s">
        <v>55</v>
      </c>
      <c r="AF175" s="4" t="s">
        <v>55</v>
      </c>
      <c r="AG175" s="4" t="s">
        <v>437</v>
      </c>
      <c r="AH175" s="4">
        <v>0</v>
      </c>
      <c r="AI175" s="4" t="s">
        <v>312</v>
      </c>
      <c r="AJ175" s="4" t="s">
        <v>55</v>
      </c>
      <c r="AK175" s="5">
        <v>45985</v>
      </c>
      <c r="AL175" s="6">
        <v>45985</v>
      </c>
      <c r="AM175" s="6">
        <v>46081</v>
      </c>
      <c r="AN175" s="4">
        <v>3</v>
      </c>
      <c r="AO175" s="6">
        <v>47079</v>
      </c>
      <c r="AP175" s="9">
        <v>1225</v>
      </c>
      <c r="AQ175" s="9">
        <v>122.5</v>
      </c>
      <c r="AR175" s="9">
        <v>1127.3399999999999</v>
      </c>
      <c r="AS175" s="9">
        <v>97.66</v>
      </c>
      <c r="AT175" s="4" t="s">
        <v>49</v>
      </c>
    </row>
    <row r="176" spans="1:46" ht="60" x14ac:dyDescent="0.25">
      <c r="A176" s="4">
        <v>40581988</v>
      </c>
      <c r="B176" s="4" t="str">
        <f>""</f>
        <v/>
      </c>
      <c r="C176" s="4" t="str">
        <f>"700100440001"</f>
        <v>700100440001</v>
      </c>
      <c r="D176" s="4">
        <v>55</v>
      </c>
      <c r="E176" s="4" t="s">
        <v>132</v>
      </c>
      <c r="F176" s="4" t="s">
        <v>412</v>
      </c>
      <c r="G176" s="4" t="str">
        <f>"CNC9192TFP"</f>
        <v>CNC9192TFP</v>
      </c>
      <c r="H176" s="4" t="str">
        <f>"ELITEDISPLAY E243d 23,8"</f>
        <v>ELITEDISPLAY E243d 23,8</v>
      </c>
      <c r="I176" s="4" t="str">
        <f>"HP"</f>
        <v>HP</v>
      </c>
      <c r="J176" s="4"/>
      <c r="K176" s="4"/>
      <c r="L176" s="9">
        <v>298</v>
      </c>
      <c r="M176" s="4"/>
      <c r="N176" s="4" t="s">
        <v>233</v>
      </c>
      <c r="O176" s="4" t="s">
        <v>255</v>
      </c>
      <c r="P176" s="4" t="s">
        <v>413</v>
      </c>
      <c r="Q176" s="4" t="s">
        <v>54</v>
      </c>
      <c r="R176" s="4" t="s">
        <v>55</v>
      </c>
      <c r="S176" s="4" t="s">
        <v>56</v>
      </c>
      <c r="T176" s="4">
        <v>6</v>
      </c>
      <c r="U176" s="4" t="s">
        <v>57</v>
      </c>
      <c r="V176" s="4">
        <v>97459</v>
      </c>
      <c r="W176" s="4" t="s">
        <v>58</v>
      </c>
      <c r="X176" s="4">
        <v>1717662512</v>
      </c>
      <c r="Y176" s="4" t="s">
        <v>71</v>
      </c>
      <c r="Z176" s="4" t="s">
        <v>55</v>
      </c>
      <c r="AA176" s="4" t="s">
        <v>116</v>
      </c>
      <c r="AB176" s="4" t="s">
        <v>61</v>
      </c>
      <c r="AC176" s="4" t="s">
        <v>73</v>
      </c>
      <c r="AD176" s="4" t="s">
        <v>62</v>
      </c>
      <c r="AE176" s="4" t="s">
        <v>55</v>
      </c>
      <c r="AF176" s="4" t="s">
        <v>55</v>
      </c>
      <c r="AG176" s="4" t="s">
        <v>438</v>
      </c>
      <c r="AH176" s="4">
        <v>0</v>
      </c>
      <c r="AI176" s="4" t="s">
        <v>312</v>
      </c>
      <c r="AJ176" s="4" t="s">
        <v>55</v>
      </c>
      <c r="AK176" s="5">
        <v>45971</v>
      </c>
      <c r="AL176" s="6">
        <v>45971</v>
      </c>
      <c r="AM176" s="6">
        <v>46081</v>
      </c>
      <c r="AN176" s="4">
        <v>3</v>
      </c>
      <c r="AO176" s="6">
        <v>47065</v>
      </c>
      <c r="AP176" s="9">
        <v>298</v>
      </c>
      <c r="AQ176" s="9">
        <v>29.8</v>
      </c>
      <c r="AR176" s="9">
        <v>270.81</v>
      </c>
      <c r="AS176" s="9">
        <v>27.19</v>
      </c>
      <c r="AT176" s="4" t="s">
        <v>49</v>
      </c>
    </row>
    <row r="177" spans="1:46" ht="75" x14ac:dyDescent="0.25">
      <c r="A177" s="4">
        <v>40631042</v>
      </c>
      <c r="B177" s="4" t="str">
        <f>""</f>
        <v/>
      </c>
      <c r="C177" s="4" t="str">
        <f>"700100070001"</f>
        <v>700100070001</v>
      </c>
      <c r="D177" s="4">
        <v>116</v>
      </c>
      <c r="E177" s="4" t="s">
        <v>132</v>
      </c>
      <c r="F177" s="4" t="s">
        <v>316</v>
      </c>
      <c r="G177" s="4" t="str">
        <f>"1B6ZGS3"</f>
        <v>1B6ZGS3</v>
      </c>
      <c r="H177" s="4" t="str">
        <f>"LATITUDE 3520"</f>
        <v>LATITUDE 3520</v>
      </c>
      <c r="I177" s="4" t="str">
        <f>"DELL"</f>
        <v>DELL</v>
      </c>
      <c r="J177" s="4"/>
      <c r="K177" s="4"/>
      <c r="L177" s="9">
        <v>1135</v>
      </c>
      <c r="M177" s="4"/>
      <c r="N177" s="4" t="s">
        <v>113</v>
      </c>
      <c r="O177" s="4" t="s">
        <v>114</v>
      </c>
      <c r="P177" s="4" t="s">
        <v>423</v>
      </c>
      <c r="Q177" s="4" t="s">
        <v>54</v>
      </c>
      <c r="R177" s="4" t="s">
        <v>55</v>
      </c>
      <c r="S177" s="4" t="s">
        <v>56</v>
      </c>
      <c r="T177" s="4">
        <v>6</v>
      </c>
      <c r="U177" s="4" t="s">
        <v>57</v>
      </c>
      <c r="V177" s="4">
        <v>97459</v>
      </c>
      <c r="W177" s="4" t="s">
        <v>58</v>
      </c>
      <c r="X177" s="4">
        <v>1717662512</v>
      </c>
      <c r="Y177" s="4" t="s">
        <v>71</v>
      </c>
      <c r="Z177" s="4" t="s">
        <v>55</v>
      </c>
      <c r="AA177" s="4" t="s">
        <v>116</v>
      </c>
      <c r="AB177" s="4" t="s">
        <v>61</v>
      </c>
      <c r="AC177" s="4" t="s">
        <v>73</v>
      </c>
      <c r="AD177" s="4" t="s">
        <v>62</v>
      </c>
      <c r="AE177" s="4" t="s">
        <v>55</v>
      </c>
      <c r="AF177" s="4" t="s">
        <v>55</v>
      </c>
      <c r="AG177" s="4" t="s">
        <v>439</v>
      </c>
      <c r="AH177" s="4">
        <v>0</v>
      </c>
      <c r="AI177" s="4" t="s">
        <v>312</v>
      </c>
      <c r="AJ177" s="4" t="s">
        <v>55</v>
      </c>
      <c r="AK177" s="5">
        <v>45985</v>
      </c>
      <c r="AL177" s="6">
        <v>45985</v>
      </c>
      <c r="AM177" s="6">
        <v>46081</v>
      </c>
      <c r="AN177" s="4">
        <v>3</v>
      </c>
      <c r="AO177" s="6">
        <v>47079</v>
      </c>
      <c r="AP177" s="9">
        <v>1225</v>
      </c>
      <c r="AQ177" s="9">
        <v>122.5</v>
      </c>
      <c r="AR177" s="9">
        <v>1127.3399999999999</v>
      </c>
      <c r="AS177" s="9">
        <v>97.66</v>
      </c>
      <c r="AT177" s="4" t="s">
        <v>49</v>
      </c>
    </row>
    <row r="178" spans="1:46" ht="60" x14ac:dyDescent="0.25">
      <c r="A178" s="4">
        <v>40588455</v>
      </c>
      <c r="B178" s="4" t="str">
        <f>""</f>
        <v/>
      </c>
      <c r="C178" s="4" t="str">
        <f>"700100960001"</f>
        <v>700100960001</v>
      </c>
      <c r="D178" s="4">
        <v>81</v>
      </c>
      <c r="E178" s="4" t="s">
        <v>132</v>
      </c>
      <c r="F178" s="4" t="s">
        <v>404</v>
      </c>
      <c r="G178" s="4" t="str">
        <f>"2XAL6Y"</f>
        <v>2XAL6Y</v>
      </c>
      <c r="H178" s="4" t="str">
        <f>"BLACKWIRE 3220-C3220 USB-A"</f>
        <v>BLACKWIRE 3220-C3220 USB-A</v>
      </c>
      <c r="I178" s="4" t="str">
        <f>"PLANTRONICS"</f>
        <v>PLANTRONICS</v>
      </c>
      <c r="J178" s="4"/>
      <c r="K178" s="4"/>
      <c r="L178" s="9">
        <v>45.4</v>
      </c>
      <c r="M178" s="4"/>
      <c r="N178" s="4" t="s">
        <v>406</v>
      </c>
      <c r="O178" s="4" t="s">
        <v>255</v>
      </c>
      <c r="P178" s="4" t="s">
        <v>407</v>
      </c>
      <c r="Q178" s="4" t="s">
        <v>54</v>
      </c>
      <c r="R178" s="4" t="s">
        <v>55</v>
      </c>
      <c r="S178" s="4" t="s">
        <v>56</v>
      </c>
      <c r="T178" s="4">
        <v>6</v>
      </c>
      <c r="U178" s="4" t="s">
        <v>57</v>
      </c>
      <c r="V178" s="4">
        <v>97459</v>
      </c>
      <c r="W178" s="4" t="s">
        <v>58</v>
      </c>
      <c r="X178" s="4">
        <v>1717662512</v>
      </c>
      <c r="Y178" s="4" t="s">
        <v>71</v>
      </c>
      <c r="Z178" s="4" t="s">
        <v>55</v>
      </c>
      <c r="AA178" s="4" t="s">
        <v>116</v>
      </c>
      <c r="AB178" s="4" t="s">
        <v>61</v>
      </c>
      <c r="AC178" s="4" t="s">
        <v>73</v>
      </c>
      <c r="AD178" s="4" t="s">
        <v>62</v>
      </c>
      <c r="AE178" s="4" t="s">
        <v>55</v>
      </c>
      <c r="AF178" s="4" t="s">
        <v>55</v>
      </c>
      <c r="AG178" s="4" t="s">
        <v>440</v>
      </c>
      <c r="AH178" s="4">
        <v>0</v>
      </c>
      <c r="AI178" s="4" t="s">
        <v>312</v>
      </c>
      <c r="AJ178" s="4" t="s">
        <v>55</v>
      </c>
      <c r="AK178" s="5">
        <v>45973</v>
      </c>
      <c r="AL178" s="6">
        <v>45973</v>
      </c>
      <c r="AM178" s="6">
        <v>46081</v>
      </c>
      <c r="AN178" s="4">
        <v>3</v>
      </c>
      <c r="AO178" s="6">
        <v>47067</v>
      </c>
      <c r="AP178" s="9">
        <v>45.4</v>
      </c>
      <c r="AQ178" s="9">
        <v>4.54</v>
      </c>
      <c r="AR178" s="9">
        <v>41.34</v>
      </c>
      <c r="AS178" s="9">
        <v>4.0599999999999996</v>
      </c>
      <c r="AT178" s="4" t="s">
        <v>49</v>
      </c>
    </row>
    <row r="179" spans="1:46" ht="60" x14ac:dyDescent="0.25">
      <c r="A179" s="4">
        <v>40588447</v>
      </c>
      <c r="B179" s="4" t="str">
        <f>""</f>
        <v/>
      </c>
      <c r="C179" s="4" t="str">
        <f>"700100960001"</f>
        <v>700100960001</v>
      </c>
      <c r="D179" s="4">
        <v>80</v>
      </c>
      <c r="E179" s="4" t="s">
        <v>132</v>
      </c>
      <c r="F179" s="4" t="s">
        <v>404</v>
      </c>
      <c r="G179" s="4" t="str">
        <f>"22339X"</f>
        <v>22339X</v>
      </c>
      <c r="H179" s="4" t="str">
        <f>"BLACKWIRE 3220-C3220 USB-A"</f>
        <v>BLACKWIRE 3220-C3220 USB-A</v>
      </c>
      <c r="I179" s="4" t="str">
        <f>"PLANTRONICS"</f>
        <v>PLANTRONICS</v>
      </c>
      <c r="J179" s="4"/>
      <c r="K179" s="4"/>
      <c r="L179" s="9">
        <v>39.47</v>
      </c>
      <c r="M179" s="4"/>
      <c r="N179" s="4" t="s">
        <v>406</v>
      </c>
      <c r="O179" s="4" t="s">
        <v>255</v>
      </c>
      <c r="P179" s="4" t="s">
        <v>407</v>
      </c>
      <c r="Q179" s="4" t="s">
        <v>54</v>
      </c>
      <c r="R179" s="4" t="s">
        <v>55</v>
      </c>
      <c r="S179" s="4" t="s">
        <v>56</v>
      </c>
      <c r="T179" s="4">
        <v>6</v>
      </c>
      <c r="U179" s="4" t="s">
        <v>57</v>
      </c>
      <c r="V179" s="4">
        <v>97459</v>
      </c>
      <c r="W179" s="4" t="s">
        <v>58</v>
      </c>
      <c r="X179" s="4">
        <v>1717662512</v>
      </c>
      <c r="Y179" s="4" t="s">
        <v>71</v>
      </c>
      <c r="Z179" s="4" t="s">
        <v>55</v>
      </c>
      <c r="AA179" s="4" t="s">
        <v>116</v>
      </c>
      <c r="AB179" s="4" t="s">
        <v>61</v>
      </c>
      <c r="AC179" s="4" t="s">
        <v>73</v>
      </c>
      <c r="AD179" s="4" t="s">
        <v>62</v>
      </c>
      <c r="AE179" s="4" t="s">
        <v>55</v>
      </c>
      <c r="AF179" s="4" t="s">
        <v>55</v>
      </c>
      <c r="AG179" s="4" t="s">
        <v>442</v>
      </c>
      <c r="AH179" s="4">
        <v>0</v>
      </c>
      <c r="AI179" s="4" t="s">
        <v>312</v>
      </c>
      <c r="AJ179" s="4" t="s">
        <v>55</v>
      </c>
      <c r="AK179" s="5">
        <v>45973</v>
      </c>
      <c r="AL179" s="6">
        <v>45973</v>
      </c>
      <c r="AM179" s="6">
        <v>46081</v>
      </c>
      <c r="AN179" s="4">
        <v>3</v>
      </c>
      <c r="AO179" s="6">
        <v>47067</v>
      </c>
      <c r="AP179" s="9">
        <v>39.47</v>
      </c>
      <c r="AQ179" s="9">
        <v>3.95</v>
      </c>
      <c r="AR179" s="9">
        <v>35.93</v>
      </c>
      <c r="AS179" s="9">
        <v>3.54</v>
      </c>
      <c r="AT179" s="4" t="s">
        <v>49</v>
      </c>
    </row>
    <row r="180" spans="1:46" ht="60" x14ac:dyDescent="0.25">
      <c r="A180" s="4">
        <v>40580510</v>
      </c>
      <c r="B180" s="4" t="str">
        <f>""</f>
        <v/>
      </c>
      <c r="C180" s="4" t="str">
        <f>"700100440001"</f>
        <v>700100440001</v>
      </c>
      <c r="D180" s="4">
        <v>49</v>
      </c>
      <c r="E180" s="4" t="s">
        <v>132</v>
      </c>
      <c r="F180" s="4" t="s">
        <v>412</v>
      </c>
      <c r="G180" s="4" t="str">
        <f>"CNC9341VDV"</f>
        <v>CNC9341VDV</v>
      </c>
      <c r="H180" s="4" t="str">
        <f>"ELITEDISPLAY E243D 23,8"</f>
        <v>ELITEDISPLAY E243D 23,8</v>
      </c>
      <c r="I180" s="4" t="str">
        <f>"HP"</f>
        <v>HP</v>
      </c>
      <c r="J180" s="4"/>
      <c r="K180" s="4"/>
      <c r="L180" s="9">
        <v>297</v>
      </c>
      <c r="M180" s="4"/>
      <c r="N180" s="4" t="s">
        <v>233</v>
      </c>
      <c r="O180" s="4" t="s">
        <v>255</v>
      </c>
      <c r="P180" s="4" t="s">
        <v>428</v>
      </c>
      <c r="Q180" s="4" t="s">
        <v>54</v>
      </c>
      <c r="R180" s="4" t="s">
        <v>55</v>
      </c>
      <c r="S180" s="4" t="s">
        <v>56</v>
      </c>
      <c r="T180" s="4">
        <v>6</v>
      </c>
      <c r="U180" s="4" t="s">
        <v>57</v>
      </c>
      <c r="V180" s="4">
        <v>97459</v>
      </c>
      <c r="W180" s="4" t="s">
        <v>58</v>
      </c>
      <c r="X180" s="4">
        <v>1717662512</v>
      </c>
      <c r="Y180" s="4" t="s">
        <v>71</v>
      </c>
      <c r="Z180" s="4" t="s">
        <v>55</v>
      </c>
      <c r="AA180" s="4" t="s">
        <v>116</v>
      </c>
      <c r="AB180" s="4" t="s">
        <v>61</v>
      </c>
      <c r="AC180" s="4" t="s">
        <v>73</v>
      </c>
      <c r="AD180" s="4" t="s">
        <v>62</v>
      </c>
      <c r="AE180" s="4" t="s">
        <v>55</v>
      </c>
      <c r="AF180" s="4" t="s">
        <v>55</v>
      </c>
      <c r="AG180" s="4" t="s">
        <v>446</v>
      </c>
      <c r="AH180" s="4">
        <v>0</v>
      </c>
      <c r="AI180" s="4" t="s">
        <v>312</v>
      </c>
      <c r="AJ180" s="4" t="s">
        <v>55</v>
      </c>
      <c r="AK180" s="5">
        <v>45971</v>
      </c>
      <c r="AL180" s="6">
        <v>45971</v>
      </c>
      <c r="AM180" s="6">
        <v>46081</v>
      </c>
      <c r="AN180" s="4">
        <v>3</v>
      </c>
      <c r="AO180" s="6">
        <v>47065</v>
      </c>
      <c r="AP180" s="9">
        <v>297</v>
      </c>
      <c r="AQ180" s="9">
        <v>29.7</v>
      </c>
      <c r="AR180" s="9">
        <v>269.89999999999998</v>
      </c>
      <c r="AS180" s="9">
        <v>27.1</v>
      </c>
      <c r="AT180" s="4" t="s">
        <v>49</v>
      </c>
    </row>
    <row r="181" spans="1:46" ht="60" x14ac:dyDescent="0.25">
      <c r="A181" s="4">
        <v>40582192</v>
      </c>
      <c r="B181" s="4" t="str">
        <f>""</f>
        <v/>
      </c>
      <c r="C181" s="4" t="str">
        <f>"700100440001"</f>
        <v>700100440001</v>
      </c>
      <c r="D181" s="4">
        <v>59</v>
      </c>
      <c r="E181" s="4" t="s">
        <v>132</v>
      </c>
      <c r="F181" s="4" t="s">
        <v>412</v>
      </c>
      <c r="G181" s="4" t="str">
        <f>"CNC9192T60"</f>
        <v>CNC9192T60</v>
      </c>
      <c r="H181" s="4" t="str">
        <f>"ELITEDISPLAY E243d 23,8"</f>
        <v>ELITEDISPLAY E243d 23,8</v>
      </c>
      <c r="I181" s="4" t="str">
        <f>"HP"</f>
        <v>HP</v>
      </c>
      <c r="J181" s="4"/>
      <c r="K181" s="4"/>
      <c r="L181" s="9">
        <v>298</v>
      </c>
      <c r="M181" s="4"/>
      <c r="N181" s="4" t="s">
        <v>233</v>
      </c>
      <c r="O181" s="4" t="s">
        <v>255</v>
      </c>
      <c r="P181" s="4" t="s">
        <v>413</v>
      </c>
      <c r="Q181" s="4" t="s">
        <v>54</v>
      </c>
      <c r="R181" s="4" t="s">
        <v>55</v>
      </c>
      <c r="S181" s="4" t="s">
        <v>56</v>
      </c>
      <c r="T181" s="4">
        <v>6</v>
      </c>
      <c r="U181" s="4" t="s">
        <v>57</v>
      </c>
      <c r="V181" s="4">
        <v>97459</v>
      </c>
      <c r="W181" s="4" t="s">
        <v>58</v>
      </c>
      <c r="X181" s="4">
        <v>1717662512</v>
      </c>
      <c r="Y181" s="4" t="s">
        <v>71</v>
      </c>
      <c r="Z181" s="4" t="s">
        <v>55</v>
      </c>
      <c r="AA181" s="4" t="s">
        <v>116</v>
      </c>
      <c r="AB181" s="4" t="s">
        <v>61</v>
      </c>
      <c r="AC181" s="4" t="s">
        <v>73</v>
      </c>
      <c r="AD181" s="4" t="s">
        <v>62</v>
      </c>
      <c r="AE181" s="4" t="s">
        <v>55</v>
      </c>
      <c r="AF181" s="4" t="s">
        <v>55</v>
      </c>
      <c r="AG181" s="4" t="s">
        <v>450</v>
      </c>
      <c r="AH181" s="4">
        <v>0</v>
      </c>
      <c r="AI181" s="4" t="s">
        <v>312</v>
      </c>
      <c r="AJ181" s="4" t="s">
        <v>55</v>
      </c>
      <c r="AK181" s="5">
        <v>45971</v>
      </c>
      <c r="AL181" s="6">
        <v>45971</v>
      </c>
      <c r="AM181" s="6">
        <v>46081</v>
      </c>
      <c r="AN181" s="4">
        <v>3</v>
      </c>
      <c r="AO181" s="6">
        <v>47065</v>
      </c>
      <c r="AP181" s="9">
        <v>298</v>
      </c>
      <c r="AQ181" s="9">
        <v>29.8</v>
      </c>
      <c r="AR181" s="9">
        <v>270.81</v>
      </c>
      <c r="AS181" s="9">
        <v>27.19</v>
      </c>
      <c r="AT181" s="4" t="s">
        <v>49</v>
      </c>
    </row>
    <row r="182" spans="1:46" ht="60" x14ac:dyDescent="0.25">
      <c r="A182" s="4">
        <v>40588456</v>
      </c>
      <c r="B182" s="4" t="str">
        <f>""</f>
        <v/>
      </c>
      <c r="C182" s="4" t="str">
        <f>"700100960001"</f>
        <v>700100960001</v>
      </c>
      <c r="D182" s="4">
        <v>82</v>
      </c>
      <c r="E182" s="4" t="s">
        <v>132</v>
      </c>
      <c r="F182" s="4" t="s">
        <v>404</v>
      </c>
      <c r="G182" s="4" t="str">
        <f>"2U4TBN"</f>
        <v>2U4TBN</v>
      </c>
      <c r="H182" s="4" t="str">
        <f>"BLACKWIRE 3220-C3220 USB-A"</f>
        <v>BLACKWIRE 3220-C3220 USB-A</v>
      </c>
      <c r="I182" s="4" t="str">
        <f>"PLANTRONICS"</f>
        <v>PLANTRONICS</v>
      </c>
      <c r="J182" s="4"/>
      <c r="K182" s="4"/>
      <c r="L182" s="9">
        <v>45.4</v>
      </c>
      <c r="M182" s="4"/>
      <c r="N182" s="4" t="s">
        <v>406</v>
      </c>
      <c r="O182" s="4" t="s">
        <v>255</v>
      </c>
      <c r="P182" s="4" t="s">
        <v>407</v>
      </c>
      <c r="Q182" s="4" t="s">
        <v>54</v>
      </c>
      <c r="R182" s="4" t="s">
        <v>55</v>
      </c>
      <c r="S182" s="4" t="s">
        <v>56</v>
      </c>
      <c r="T182" s="4">
        <v>6</v>
      </c>
      <c r="U182" s="4" t="s">
        <v>57</v>
      </c>
      <c r="V182" s="4">
        <v>97459</v>
      </c>
      <c r="W182" s="4" t="s">
        <v>58</v>
      </c>
      <c r="X182" s="4">
        <v>1717662512</v>
      </c>
      <c r="Y182" s="4" t="s">
        <v>71</v>
      </c>
      <c r="Z182" s="4" t="s">
        <v>55</v>
      </c>
      <c r="AA182" s="4" t="s">
        <v>116</v>
      </c>
      <c r="AB182" s="4" t="s">
        <v>61</v>
      </c>
      <c r="AC182" s="4" t="s">
        <v>73</v>
      </c>
      <c r="AD182" s="4" t="s">
        <v>62</v>
      </c>
      <c r="AE182" s="4" t="s">
        <v>55</v>
      </c>
      <c r="AF182" s="4" t="s">
        <v>55</v>
      </c>
      <c r="AG182" s="4" t="s">
        <v>451</v>
      </c>
      <c r="AH182" s="4">
        <v>0</v>
      </c>
      <c r="AI182" s="4" t="s">
        <v>312</v>
      </c>
      <c r="AJ182" s="4" t="s">
        <v>55</v>
      </c>
      <c r="AK182" s="5">
        <v>45973</v>
      </c>
      <c r="AL182" s="6">
        <v>45973</v>
      </c>
      <c r="AM182" s="6">
        <v>46081</v>
      </c>
      <c r="AN182" s="4">
        <v>3</v>
      </c>
      <c r="AO182" s="6">
        <v>47067</v>
      </c>
      <c r="AP182" s="9">
        <v>45.4</v>
      </c>
      <c r="AQ182" s="9">
        <v>4.54</v>
      </c>
      <c r="AR182" s="9">
        <v>41.34</v>
      </c>
      <c r="AS182" s="9">
        <v>4.0599999999999996</v>
      </c>
      <c r="AT182" s="4" t="s">
        <v>49</v>
      </c>
    </row>
    <row r="183" spans="1:46" ht="60" x14ac:dyDescent="0.25">
      <c r="A183" s="4">
        <v>40588693</v>
      </c>
      <c r="B183" s="4" t="str">
        <f>""</f>
        <v/>
      </c>
      <c r="C183" s="4" t="str">
        <f>"700100960001"</f>
        <v>700100960001</v>
      </c>
      <c r="D183" s="4">
        <v>86</v>
      </c>
      <c r="E183" s="4" t="s">
        <v>132</v>
      </c>
      <c r="F183" s="4" t="s">
        <v>404</v>
      </c>
      <c r="G183" s="4" t="str">
        <f>"2V1G2L"</f>
        <v>2V1G2L</v>
      </c>
      <c r="H183" s="4" t="str">
        <f>"BLACKWIRE 3220-C3220 USB-A"</f>
        <v>BLACKWIRE 3220-C3220 USB-A</v>
      </c>
      <c r="I183" s="4" t="str">
        <f>"PLANTRONICS"</f>
        <v>PLANTRONICS</v>
      </c>
      <c r="J183" s="4"/>
      <c r="K183" s="4"/>
      <c r="L183" s="9">
        <v>45.4</v>
      </c>
      <c r="M183" s="4"/>
      <c r="N183" s="4" t="s">
        <v>406</v>
      </c>
      <c r="O183" s="4" t="s">
        <v>255</v>
      </c>
      <c r="P183" s="4" t="s">
        <v>407</v>
      </c>
      <c r="Q183" s="4" t="s">
        <v>54</v>
      </c>
      <c r="R183" s="4" t="s">
        <v>55</v>
      </c>
      <c r="S183" s="4" t="s">
        <v>56</v>
      </c>
      <c r="T183" s="4">
        <v>6</v>
      </c>
      <c r="U183" s="4" t="s">
        <v>57</v>
      </c>
      <c r="V183" s="4">
        <v>97459</v>
      </c>
      <c r="W183" s="4" t="s">
        <v>58</v>
      </c>
      <c r="X183" s="4">
        <v>1717662512</v>
      </c>
      <c r="Y183" s="4" t="s">
        <v>71</v>
      </c>
      <c r="Z183" s="4" t="s">
        <v>55</v>
      </c>
      <c r="AA183" s="4" t="s">
        <v>116</v>
      </c>
      <c r="AB183" s="4" t="s">
        <v>61</v>
      </c>
      <c r="AC183" s="4" t="s">
        <v>73</v>
      </c>
      <c r="AD183" s="4" t="s">
        <v>62</v>
      </c>
      <c r="AE183" s="4" t="s">
        <v>55</v>
      </c>
      <c r="AF183" s="4" t="s">
        <v>55</v>
      </c>
      <c r="AG183" s="4" t="s">
        <v>452</v>
      </c>
      <c r="AH183" s="4">
        <v>0</v>
      </c>
      <c r="AI183" s="4" t="s">
        <v>312</v>
      </c>
      <c r="AJ183" s="4" t="s">
        <v>55</v>
      </c>
      <c r="AK183" s="5">
        <v>45973</v>
      </c>
      <c r="AL183" s="6">
        <v>45973</v>
      </c>
      <c r="AM183" s="6">
        <v>46081</v>
      </c>
      <c r="AN183" s="4">
        <v>3</v>
      </c>
      <c r="AO183" s="6">
        <v>47067</v>
      </c>
      <c r="AP183" s="9">
        <v>45.4</v>
      </c>
      <c r="AQ183" s="9">
        <v>4.54</v>
      </c>
      <c r="AR183" s="9">
        <v>41.34</v>
      </c>
      <c r="AS183" s="9">
        <v>4.0599999999999996</v>
      </c>
      <c r="AT183" s="4" t="s">
        <v>49</v>
      </c>
    </row>
    <row r="184" spans="1:46" ht="60" x14ac:dyDescent="0.25">
      <c r="A184" s="4">
        <v>40588880</v>
      </c>
      <c r="B184" s="4" t="str">
        <f>""</f>
        <v/>
      </c>
      <c r="C184" s="4" t="str">
        <f>"700100960001"</f>
        <v>700100960001</v>
      </c>
      <c r="D184" s="4">
        <v>87</v>
      </c>
      <c r="E184" s="4" t="s">
        <v>132</v>
      </c>
      <c r="F184" s="4" t="s">
        <v>404</v>
      </c>
      <c r="G184" s="4" t="str">
        <f>"2M80Y3"</f>
        <v>2M80Y3</v>
      </c>
      <c r="H184" s="4" t="str">
        <f>"BLACKWIRE 3220-C3220 USB-A"</f>
        <v>BLACKWIRE 3220-C3220 USB-A</v>
      </c>
      <c r="I184" s="4" t="str">
        <f>"PLANTRONICS"</f>
        <v>PLANTRONICS</v>
      </c>
      <c r="J184" s="4"/>
      <c r="K184" s="4"/>
      <c r="L184" s="9">
        <v>45.5</v>
      </c>
      <c r="M184" s="4"/>
      <c r="N184" s="4" t="s">
        <v>406</v>
      </c>
      <c r="O184" s="4" t="s">
        <v>255</v>
      </c>
      <c r="P184" s="4" t="s">
        <v>407</v>
      </c>
      <c r="Q184" s="4" t="s">
        <v>54</v>
      </c>
      <c r="R184" s="4" t="s">
        <v>55</v>
      </c>
      <c r="S184" s="4" t="s">
        <v>56</v>
      </c>
      <c r="T184" s="4">
        <v>6</v>
      </c>
      <c r="U184" s="4" t="s">
        <v>57</v>
      </c>
      <c r="V184" s="4">
        <v>97459</v>
      </c>
      <c r="W184" s="4" t="s">
        <v>58</v>
      </c>
      <c r="X184" s="4">
        <v>1717662512</v>
      </c>
      <c r="Y184" s="4" t="s">
        <v>71</v>
      </c>
      <c r="Z184" s="4" t="s">
        <v>55</v>
      </c>
      <c r="AA184" s="4" t="s">
        <v>116</v>
      </c>
      <c r="AB184" s="4" t="s">
        <v>61</v>
      </c>
      <c r="AC184" s="4" t="s">
        <v>73</v>
      </c>
      <c r="AD184" s="4" t="s">
        <v>62</v>
      </c>
      <c r="AE184" s="4" t="s">
        <v>55</v>
      </c>
      <c r="AF184" s="4" t="s">
        <v>55</v>
      </c>
      <c r="AG184" s="4" t="s">
        <v>454</v>
      </c>
      <c r="AH184" s="4">
        <v>0</v>
      </c>
      <c r="AI184" s="4" t="s">
        <v>312</v>
      </c>
      <c r="AJ184" s="4" t="s">
        <v>55</v>
      </c>
      <c r="AK184" s="5">
        <v>45973</v>
      </c>
      <c r="AL184" s="6">
        <v>45973</v>
      </c>
      <c r="AM184" s="6">
        <v>46081</v>
      </c>
      <c r="AN184" s="4">
        <v>3</v>
      </c>
      <c r="AO184" s="6">
        <v>47067</v>
      </c>
      <c r="AP184" s="9">
        <v>45.5</v>
      </c>
      <c r="AQ184" s="9">
        <v>4.55</v>
      </c>
      <c r="AR184" s="9">
        <v>41.42</v>
      </c>
      <c r="AS184" s="9">
        <v>4.08</v>
      </c>
      <c r="AT184" s="4" t="s">
        <v>49</v>
      </c>
    </row>
    <row r="185" spans="1:46" ht="60" x14ac:dyDescent="0.25">
      <c r="A185" s="4">
        <v>40588881</v>
      </c>
      <c r="B185" s="4" t="str">
        <f>""</f>
        <v/>
      </c>
      <c r="C185" s="4" t="str">
        <f>"700100960001"</f>
        <v>700100960001</v>
      </c>
      <c r="D185" s="4">
        <v>88</v>
      </c>
      <c r="E185" s="4" t="s">
        <v>132</v>
      </c>
      <c r="F185" s="4" t="s">
        <v>404</v>
      </c>
      <c r="G185" s="4" t="str">
        <f>"2U5LGE"</f>
        <v>2U5LGE</v>
      </c>
      <c r="H185" s="4" t="str">
        <f>"BLACKWIRE 3220-C3220 USB-A"</f>
        <v>BLACKWIRE 3220-C3220 USB-A</v>
      </c>
      <c r="I185" s="4" t="str">
        <f>"PLANTRONICS"</f>
        <v>PLANTRONICS</v>
      </c>
      <c r="J185" s="4"/>
      <c r="K185" s="4"/>
      <c r="L185" s="9">
        <v>45.4</v>
      </c>
      <c r="M185" s="4"/>
      <c r="N185" s="4" t="s">
        <v>406</v>
      </c>
      <c r="O185" s="4" t="s">
        <v>255</v>
      </c>
      <c r="P185" s="4" t="s">
        <v>407</v>
      </c>
      <c r="Q185" s="4" t="s">
        <v>54</v>
      </c>
      <c r="R185" s="4" t="s">
        <v>55</v>
      </c>
      <c r="S185" s="4" t="s">
        <v>56</v>
      </c>
      <c r="T185" s="4">
        <v>6</v>
      </c>
      <c r="U185" s="4" t="s">
        <v>57</v>
      </c>
      <c r="V185" s="4">
        <v>97459</v>
      </c>
      <c r="W185" s="4" t="s">
        <v>58</v>
      </c>
      <c r="X185" s="4">
        <v>1717662512</v>
      </c>
      <c r="Y185" s="4" t="s">
        <v>71</v>
      </c>
      <c r="Z185" s="4" t="s">
        <v>55</v>
      </c>
      <c r="AA185" s="4" t="s">
        <v>116</v>
      </c>
      <c r="AB185" s="4" t="s">
        <v>61</v>
      </c>
      <c r="AC185" s="4" t="s">
        <v>73</v>
      </c>
      <c r="AD185" s="4" t="s">
        <v>62</v>
      </c>
      <c r="AE185" s="4" t="s">
        <v>55</v>
      </c>
      <c r="AF185" s="4" t="s">
        <v>55</v>
      </c>
      <c r="AG185" s="4" t="s">
        <v>458</v>
      </c>
      <c r="AH185" s="4">
        <v>0</v>
      </c>
      <c r="AI185" s="4" t="s">
        <v>312</v>
      </c>
      <c r="AJ185" s="4" t="s">
        <v>55</v>
      </c>
      <c r="AK185" s="5">
        <v>45973</v>
      </c>
      <c r="AL185" s="6">
        <v>45973</v>
      </c>
      <c r="AM185" s="6">
        <v>46081</v>
      </c>
      <c r="AN185" s="4">
        <v>3</v>
      </c>
      <c r="AO185" s="6">
        <v>47067</v>
      </c>
      <c r="AP185" s="9">
        <v>45.4</v>
      </c>
      <c r="AQ185" s="9">
        <v>4.54</v>
      </c>
      <c r="AR185" s="9">
        <v>41.34</v>
      </c>
      <c r="AS185" s="9">
        <v>4.0599999999999996</v>
      </c>
      <c r="AT185" s="4" t="s">
        <v>49</v>
      </c>
    </row>
    <row r="186" spans="1:46" ht="75" x14ac:dyDescent="0.25">
      <c r="A186" s="4">
        <v>40631242</v>
      </c>
      <c r="B186" s="4" t="str">
        <f>""</f>
        <v/>
      </c>
      <c r="C186" s="4" t="str">
        <f>"700100070001"</f>
        <v>700100070001</v>
      </c>
      <c r="D186" s="4">
        <v>119</v>
      </c>
      <c r="E186" s="4" t="s">
        <v>132</v>
      </c>
      <c r="F186" s="4" t="s">
        <v>316</v>
      </c>
      <c r="G186" s="4" t="str">
        <f>"F2F4CS3"</f>
        <v>F2F4CS3</v>
      </c>
      <c r="H186" s="4" t="str">
        <f>"LATITUDE 3520"</f>
        <v>LATITUDE 3520</v>
      </c>
      <c r="I186" s="4" t="str">
        <f>"DELL"</f>
        <v>DELL</v>
      </c>
      <c r="J186" s="4"/>
      <c r="K186" s="4"/>
      <c r="L186" s="9">
        <v>1135</v>
      </c>
      <c r="M186" s="4"/>
      <c r="N186" s="4" t="s">
        <v>113</v>
      </c>
      <c r="O186" s="4" t="s">
        <v>114</v>
      </c>
      <c r="P186" s="4" t="s">
        <v>423</v>
      </c>
      <c r="Q186" s="4" t="s">
        <v>54</v>
      </c>
      <c r="R186" s="4" t="s">
        <v>55</v>
      </c>
      <c r="S186" s="4" t="s">
        <v>56</v>
      </c>
      <c r="T186" s="4">
        <v>6</v>
      </c>
      <c r="U186" s="4" t="s">
        <v>57</v>
      </c>
      <c r="V186" s="4">
        <v>97459</v>
      </c>
      <c r="W186" s="4" t="s">
        <v>58</v>
      </c>
      <c r="X186" s="4">
        <v>1717662512</v>
      </c>
      <c r="Y186" s="4" t="s">
        <v>71</v>
      </c>
      <c r="Z186" s="4" t="s">
        <v>55</v>
      </c>
      <c r="AA186" s="4" t="s">
        <v>116</v>
      </c>
      <c r="AB186" s="4" t="s">
        <v>61</v>
      </c>
      <c r="AC186" s="4" t="s">
        <v>73</v>
      </c>
      <c r="AD186" s="4" t="s">
        <v>62</v>
      </c>
      <c r="AE186" s="4" t="s">
        <v>55</v>
      </c>
      <c r="AF186" s="4" t="s">
        <v>55</v>
      </c>
      <c r="AG186" s="4" t="s">
        <v>459</v>
      </c>
      <c r="AH186" s="4">
        <v>0</v>
      </c>
      <c r="AI186" s="4" t="s">
        <v>312</v>
      </c>
      <c r="AJ186" s="4" t="s">
        <v>55</v>
      </c>
      <c r="AK186" s="5">
        <v>45985</v>
      </c>
      <c r="AL186" s="6">
        <v>45985</v>
      </c>
      <c r="AM186" s="6">
        <v>46081</v>
      </c>
      <c r="AN186" s="4">
        <v>3</v>
      </c>
      <c r="AO186" s="6">
        <v>47079</v>
      </c>
      <c r="AP186" s="9">
        <v>1225</v>
      </c>
      <c r="AQ186" s="9">
        <v>122.5</v>
      </c>
      <c r="AR186" s="9">
        <v>1127.3399999999999</v>
      </c>
      <c r="AS186" s="9">
        <v>97.66</v>
      </c>
      <c r="AT186" s="4" t="s">
        <v>49</v>
      </c>
    </row>
    <row r="187" spans="1:46" ht="60" x14ac:dyDescent="0.25">
      <c r="A187" s="4">
        <v>40581985</v>
      </c>
      <c r="B187" s="4" t="str">
        <f>""</f>
        <v/>
      </c>
      <c r="C187" s="4" t="str">
        <f>"700100440001"</f>
        <v>700100440001</v>
      </c>
      <c r="D187" s="4">
        <v>54</v>
      </c>
      <c r="E187" s="4" t="s">
        <v>132</v>
      </c>
      <c r="F187" s="4" t="s">
        <v>412</v>
      </c>
      <c r="G187" s="4" t="str">
        <f>"CNC9341VF0"</f>
        <v>CNC9341VF0</v>
      </c>
      <c r="H187" s="4" t="str">
        <f>"ELITEDISPLAY E243d 23,8"</f>
        <v>ELITEDISPLAY E243d 23,8</v>
      </c>
      <c r="I187" s="4" t="str">
        <f>"HP"</f>
        <v>HP</v>
      </c>
      <c r="J187" s="4"/>
      <c r="K187" s="4"/>
      <c r="L187" s="9">
        <v>297</v>
      </c>
      <c r="M187" s="4"/>
      <c r="N187" s="4" t="s">
        <v>233</v>
      </c>
      <c r="O187" s="4" t="s">
        <v>255</v>
      </c>
      <c r="P187" s="4" t="s">
        <v>413</v>
      </c>
      <c r="Q187" s="4" t="s">
        <v>54</v>
      </c>
      <c r="R187" s="4" t="s">
        <v>55</v>
      </c>
      <c r="S187" s="4" t="s">
        <v>56</v>
      </c>
      <c r="T187" s="4">
        <v>6</v>
      </c>
      <c r="U187" s="4" t="s">
        <v>57</v>
      </c>
      <c r="V187" s="4">
        <v>97459</v>
      </c>
      <c r="W187" s="4" t="s">
        <v>58</v>
      </c>
      <c r="X187" s="4">
        <v>1717662512</v>
      </c>
      <c r="Y187" s="4" t="s">
        <v>71</v>
      </c>
      <c r="Z187" s="4" t="s">
        <v>55</v>
      </c>
      <c r="AA187" s="4" t="s">
        <v>116</v>
      </c>
      <c r="AB187" s="4" t="s">
        <v>61</v>
      </c>
      <c r="AC187" s="4" t="s">
        <v>73</v>
      </c>
      <c r="AD187" s="4" t="s">
        <v>62</v>
      </c>
      <c r="AE187" s="4" t="s">
        <v>55</v>
      </c>
      <c r="AF187" s="4" t="s">
        <v>55</v>
      </c>
      <c r="AG187" s="4" t="s">
        <v>460</v>
      </c>
      <c r="AH187" s="4">
        <v>0</v>
      </c>
      <c r="AI187" s="4" t="s">
        <v>312</v>
      </c>
      <c r="AJ187" s="4" t="s">
        <v>55</v>
      </c>
      <c r="AK187" s="5">
        <v>45971</v>
      </c>
      <c r="AL187" s="6">
        <v>45971</v>
      </c>
      <c r="AM187" s="6">
        <v>46081</v>
      </c>
      <c r="AN187" s="4">
        <v>3</v>
      </c>
      <c r="AO187" s="6">
        <v>47065</v>
      </c>
      <c r="AP187" s="9">
        <v>297</v>
      </c>
      <c r="AQ187" s="9">
        <v>29.7</v>
      </c>
      <c r="AR187" s="9">
        <v>269.89999999999998</v>
      </c>
      <c r="AS187" s="9">
        <v>27.1</v>
      </c>
      <c r="AT187" s="4" t="s">
        <v>49</v>
      </c>
    </row>
    <row r="188" spans="1:46" ht="75" x14ac:dyDescent="0.25">
      <c r="A188" s="4">
        <v>40631251</v>
      </c>
      <c r="B188" s="4" t="str">
        <f>""</f>
        <v/>
      </c>
      <c r="C188" s="4" t="str">
        <f>"700100070001"</f>
        <v>700100070001</v>
      </c>
      <c r="D188" s="4">
        <v>121</v>
      </c>
      <c r="E188" s="4" t="s">
        <v>132</v>
      </c>
      <c r="F188" s="4" t="s">
        <v>316</v>
      </c>
      <c r="G188" s="4" t="str">
        <f>"1CD4CS3"</f>
        <v>1CD4CS3</v>
      </c>
      <c r="H188" s="4" t="str">
        <f>"LATITUDE 3520"</f>
        <v>LATITUDE 3520</v>
      </c>
      <c r="I188" s="4" t="str">
        <f>"DELL"</f>
        <v>DELL</v>
      </c>
      <c r="J188" s="4"/>
      <c r="K188" s="4"/>
      <c r="L188" s="9">
        <v>1135</v>
      </c>
      <c r="M188" s="4"/>
      <c r="N188" s="4" t="s">
        <v>113</v>
      </c>
      <c r="O188" s="4" t="s">
        <v>114</v>
      </c>
      <c r="P188" s="4" t="s">
        <v>423</v>
      </c>
      <c r="Q188" s="4" t="s">
        <v>54</v>
      </c>
      <c r="R188" s="4" t="s">
        <v>55</v>
      </c>
      <c r="S188" s="4" t="s">
        <v>56</v>
      </c>
      <c r="T188" s="4">
        <v>6</v>
      </c>
      <c r="U188" s="4" t="s">
        <v>57</v>
      </c>
      <c r="V188" s="4">
        <v>97459</v>
      </c>
      <c r="W188" s="4" t="s">
        <v>58</v>
      </c>
      <c r="X188" s="4">
        <v>1722641816</v>
      </c>
      <c r="Y188" s="4" t="s">
        <v>222</v>
      </c>
      <c r="Z188" s="4" t="s">
        <v>55</v>
      </c>
      <c r="AA188" s="4" t="s">
        <v>116</v>
      </c>
      <c r="AB188" s="4" t="s">
        <v>61</v>
      </c>
      <c r="AC188" s="4" t="s">
        <v>73</v>
      </c>
      <c r="AD188" s="4" t="s">
        <v>62</v>
      </c>
      <c r="AE188" s="4" t="s">
        <v>55</v>
      </c>
      <c r="AF188" s="4" t="s">
        <v>55</v>
      </c>
      <c r="AG188" s="4" t="s">
        <v>461</v>
      </c>
      <c r="AH188" s="4">
        <v>0</v>
      </c>
      <c r="AI188" s="4" t="s">
        <v>312</v>
      </c>
      <c r="AJ188" s="4" t="s">
        <v>55</v>
      </c>
      <c r="AK188" s="5">
        <v>45985</v>
      </c>
      <c r="AL188" s="6">
        <v>45985</v>
      </c>
      <c r="AM188" s="6">
        <v>46081</v>
      </c>
      <c r="AN188" s="4">
        <v>3</v>
      </c>
      <c r="AO188" s="6">
        <v>47079</v>
      </c>
      <c r="AP188" s="9">
        <v>1225</v>
      </c>
      <c r="AQ188" s="9">
        <v>122.5</v>
      </c>
      <c r="AR188" s="9">
        <v>1127.3399999999999</v>
      </c>
      <c r="AS188" s="9">
        <v>97.66</v>
      </c>
      <c r="AT188" s="4" t="s">
        <v>49</v>
      </c>
    </row>
    <row r="189" spans="1:46" ht="60" x14ac:dyDescent="0.25">
      <c r="A189" s="4">
        <v>40577745</v>
      </c>
      <c r="B189" s="4" t="str">
        <f>""</f>
        <v/>
      </c>
      <c r="C189" s="4" t="str">
        <f>"700100440001"</f>
        <v>700100440001</v>
      </c>
      <c r="D189" s="4">
        <v>47</v>
      </c>
      <c r="E189" s="4" t="s">
        <v>132</v>
      </c>
      <c r="F189" s="4" t="s">
        <v>412</v>
      </c>
      <c r="G189" s="4" t="str">
        <f>"CNC9341W6W"</f>
        <v>CNC9341W6W</v>
      </c>
      <c r="H189" s="4" t="str">
        <f>"ELITEDISPLAY E243D 23,8"</f>
        <v>ELITEDISPLAY E243D 23,8</v>
      </c>
      <c r="I189" s="4" t="str">
        <f>"HP"</f>
        <v>HP</v>
      </c>
      <c r="J189" s="4"/>
      <c r="K189" s="4"/>
      <c r="L189" s="9">
        <v>297</v>
      </c>
      <c r="M189" s="4"/>
      <c r="N189" s="4" t="s">
        <v>233</v>
      </c>
      <c r="O189" s="4" t="s">
        <v>114</v>
      </c>
      <c r="P189" s="4" t="s">
        <v>428</v>
      </c>
      <c r="Q189" s="4" t="s">
        <v>54</v>
      </c>
      <c r="R189" s="4" t="s">
        <v>55</v>
      </c>
      <c r="S189" s="4" t="s">
        <v>56</v>
      </c>
      <c r="T189" s="4">
        <v>6</v>
      </c>
      <c r="U189" s="4" t="s">
        <v>57</v>
      </c>
      <c r="V189" s="4">
        <v>97459</v>
      </c>
      <c r="W189" s="4" t="s">
        <v>58</v>
      </c>
      <c r="X189" s="4">
        <v>1717662512</v>
      </c>
      <c r="Y189" s="4" t="s">
        <v>71</v>
      </c>
      <c r="Z189" s="4" t="s">
        <v>55</v>
      </c>
      <c r="AA189" s="4" t="s">
        <v>116</v>
      </c>
      <c r="AB189" s="4" t="s">
        <v>61</v>
      </c>
      <c r="AC189" s="4" t="s">
        <v>73</v>
      </c>
      <c r="AD189" s="4" t="s">
        <v>62</v>
      </c>
      <c r="AE189" s="4" t="s">
        <v>55</v>
      </c>
      <c r="AF189" s="4" t="s">
        <v>55</v>
      </c>
      <c r="AG189" s="4" t="s">
        <v>462</v>
      </c>
      <c r="AH189" s="4">
        <v>0</v>
      </c>
      <c r="AI189" s="4" t="s">
        <v>312</v>
      </c>
      <c r="AJ189" s="4" t="s">
        <v>55</v>
      </c>
      <c r="AK189" s="5">
        <v>45968</v>
      </c>
      <c r="AL189" s="6">
        <v>45968</v>
      </c>
      <c r="AM189" s="6">
        <v>46081</v>
      </c>
      <c r="AN189" s="4">
        <v>1</v>
      </c>
      <c r="AO189" s="6">
        <v>46332</v>
      </c>
      <c r="AP189" s="9">
        <v>297</v>
      </c>
      <c r="AQ189" s="9">
        <v>29.7</v>
      </c>
      <c r="AR189" s="9">
        <v>213.51</v>
      </c>
      <c r="AS189" s="9">
        <v>83.49</v>
      </c>
      <c r="AT189" s="4" t="s">
        <v>49</v>
      </c>
    </row>
    <row r="190" spans="1:46" ht="60" x14ac:dyDescent="0.25">
      <c r="A190" s="4">
        <v>40565339</v>
      </c>
      <c r="B190" s="4" t="str">
        <f>""</f>
        <v/>
      </c>
      <c r="C190" s="4" t="str">
        <f>"700100070001"</f>
        <v>700100070001</v>
      </c>
      <c r="D190" s="4">
        <v>20</v>
      </c>
      <c r="E190" s="4" t="s">
        <v>132</v>
      </c>
      <c r="F190" s="4" t="s">
        <v>316</v>
      </c>
      <c r="G190" s="4" t="str">
        <f>"PC1A0XKX"</f>
        <v>PC1A0XKX</v>
      </c>
      <c r="H190" s="4" t="str">
        <f>"THINKPAD T490"</f>
        <v>THINKPAD T490</v>
      </c>
      <c r="I190" s="4" t="str">
        <f>"LENOVO"</f>
        <v>LENOVO</v>
      </c>
      <c r="J190" s="4"/>
      <c r="K190" s="4"/>
      <c r="L190" s="9">
        <v>1194</v>
      </c>
      <c r="M190" s="4"/>
      <c r="N190" s="4" t="s">
        <v>113</v>
      </c>
      <c r="O190" s="4" t="s">
        <v>255</v>
      </c>
      <c r="P190" s="4" t="s">
        <v>392</v>
      </c>
      <c r="Q190" s="4" t="s">
        <v>54</v>
      </c>
      <c r="R190" s="4" t="s">
        <v>55</v>
      </c>
      <c r="S190" s="4" t="s">
        <v>56</v>
      </c>
      <c r="T190" s="4">
        <v>6</v>
      </c>
      <c r="U190" s="4" t="s">
        <v>57</v>
      </c>
      <c r="V190" s="4">
        <v>97459</v>
      </c>
      <c r="W190" s="4" t="s">
        <v>58</v>
      </c>
      <c r="X190" s="4">
        <v>1717662512</v>
      </c>
      <c r="Y190" s="4" t="s">
        <v>71</v>
      </c>
      <c r="Z190" s="4" t="s">
        <v>55</v>
      </c>
      <c r="AA190" s="4" t="s">
        <v>116</v>
      </c>
      <c r="AB190" s="4" t="s">
        <v>61</v>
      </c>
      <c r="AC190" s="4" t="s">
        <v>73</v>
      </c>
      <c r="AD190" s="4" t="s">
        <v>62</v>
      </c>
      <c r="AE190" s="4" t="s">
        <v>55</v>
      </c>
      <c r="AF190" s="4" t="s">
        <v>55</v>
      </c>
      <c r="AG190" s="4" t="s">
        <v>465</v>
      </c>
      <c r="AH190" s="4">
        <v>0</v>
      </c>
      <c r="AI190" s="4" t="s">
        <v>312</v>
      </c>
      <c r="AJ190" s="4" t="s">
        <v>55</v>
      </c>
      <c r="AK190" s="5">
        <v>45967</v>
      </c>
      <c r="AL190" s="6">
        <v>45967</v>
      </c>
      <c r="AM190" s="6">
        <v>46081</v>
      </c>
      <c r="AN190" s="4">
        <v>3</v>
      </c>
      <c r="AO190" s="6">
        <v>47061</v>
      </c>
      <c r="AP190" s="9">
        <v>1194</v>
      </c>
      <c r="AQ190" s="9">
        <v>119.4</v>
      </c>
      <c r="AR190" s="9">
        <v>1081.1500000000001</v>
      </c>
      <c r="AS190" s="9">
        <v>112.85</v>
      </c>
      <c r="AT190" s="4" t="s">
        <v>49</v>
      </c>
    </row>
    <row r="191" spans="1:46" ht="60" x14ac:dyDescent="0.25">
      <c r="A191" s="4">
        <v>40577674</v>
      </c>
      <c r="B191" s="4" t="str">
        <f>""</f>
        <v/>
      </c>
      <c r="C191" s="4" t="str">
        <f>"700100440001"</f>
        <v>700100440001</v>
      </c>
      <c r="D191" s="4">
        <v>43</v>
      </c>
      <c r="E191" s="4" t="s">
        <v>132</v>
      </c>
      <c r="F191" s="4" t="s">
        <v>412</v>
      </c>
      <c r="G191" s="4" t="str">
        <f>"CNC9341TDK"</f>
        <v>CNC9341TDK</v>
      </c>
      <c r="H191" s="4" t="str">
        <f>"ELITEDISPLAY E243D 23,8"</f>
        <v>ELITEDISPLAY E243D 23,8</v>
      </c>
      <c r="I191" s="4" t="str">
        <f>"HP"</f>
        <v>HP</v>
      </c>
      <c r="J191" s="4"/>
      <c r="K191" s="4"/>
      <c r="L191" s="9">
        <v>297</v>
      </c>
      <c r="M191" s="4"/>
      <c r="N191" s="4" t="s">
        <v>233</v>
      </c>
      <c r="O191" s="4" t="s">
        <v>114</v>
      </c>
      <c r="P191" s="4" t="s">
        <v>428</v>
      </c>
      <c r="Q191" s="4" t="s">
        <v>54</v>
      </c>
      <c r="R191" s="4" t="s">
        <v>55</v>
      </c>
      <c r="S191" s="4" t="s">
        <v>56</v>
      </c>
      <c r="T191" s="4">
        <v>6</v>
      </c>
      <c r="U191" s="4" t="s">
        <v>57</v>
      </c>
      <c r="V191" s="4">
        <v>97459</v>
      </c>
      <c r="W191" s="4" t="s">
        <v>58</v>
      </c>
      <c r="X191" s="4">
        <v>1717662512</v>
      </c>
      <c r="Y191" s="4" t="s">
        <v>71</v>
      </c>
      <c r="Z191" s="4" t="s">
        <v>55</v>
      </c>
      <c r="AA191" s="4" t="s">
        <v>116</v>
      </c>
      <c r="AB191" s="4" t="s">
        <v>61</v>
      </c>
      <c r="AC191" s="4" t="s">
        <v>73</v>
      </c>
      <c r="AD191" s="4" t="s">
        <v>62</v>
      </c>
      <c r="AE191" s="4" t="s">
        <v>55</v>
      </c>
      <c r="AF191" s="4" t="s">
        <v>55</v>
      </c>
      <c r="AG191" s="4" t="s">
        <v>466</v>
      </c>
      <c r="AH191" s="4">
        <v>0</v>
      </c>
      <c r="AI191" s="4" t="s">
        <v>312</v>
      </c>
      <c r="AJ191" s="4" t="s">
        <v>55</v>
      </c>
      <c r="AK191" s="5">
        <v>45968</v>
      </c>
      <c r="AL191" s="6">
        <v>45968</v>
      </c>
      <c r="AM191" s="6">
        <v>46081</v>
      </c>
      <c r="AN191" s="4">
        <v>1</v>
      </c>
      <c r="AO191" s="6">
        <v>46332</v>
      </c>
      <c r="AP191" s="9">
        <v>297</v>
      </c>
      <c r="AQ191" s="9">
        <v>29.7</v>
      </c>
      <c r="AR191" s="9">
        <v>213.51</v>
      </c>
      <c r="AS191" s="9">
        <v>83.49</v>
      </c>
      <c r="AT191" s="4" t="s">
        <v>49</v>
      </c>
    </row>
    <row r="192" spans="1:46" ht="60" x14ac:dyDescent="0.25">
      <c r="A192" s="4">
        <v>40586208</v>
      </c>
      <c r="B192" s="4" t="str">
        <f>""</f>
        <v/>
      </c>
      <c r="C192" s="4" t="str">
        <f>"700100960001"</f>
        <v>700100960001</v>
      </c>
      <c r="D192" s="4">
        <v>72</v>
      </c>
      <c r="E192" s="4" t="s">
        <v>132</v>
      </c>
      <c r="F192" s="4" t="s">
        <v>404</v>
      </c>
      <c r="G192" s="4" t="str">
        <f>"2F7MHJ"</f>
        <v>2F7MHJ</v>
      </c>
      <c r="H192" s="4" t="str">
        <f>"BLACKWIRE 3220-C3220 USB-A"</f>
        <v>BLACKWIRE 3220-C3220 USB-A</v>
      </c>
      <c r="I192" s="4" t="str">
        <f>"PLANTRONICS"</f>
        <v>PLANTRONICS</v>
      </c>
      <c r="J192" s="4"/>
      <c r="K192" s="4"/>
      <c r="L192" s="9">
        <v>44.85</v>
      </c>
      <c r="M192" s="4"/>
      <c r="N192" s="4" t="s">
        <v>406</v>
      </c>
      <c r="O192" s="4" t="s">
        <v>255</v>
      </c>
      <c r="P192" s="4" t="s">
        <v>407</v>
      </c>
      <c r="Q192" s="4" t="s">
        <v>54</v>
      </c>
      <c r="R192" s="4" t="s">
        <v>55</v>
      </c>
      <c r="S192" s="4" t="s">
        <v>56</v>
      </c>
      <c r="T192" s="4">
        <v>6</v>
      </c>
      <c r="U192" s="4" t="s">
        <v>57</v>
      </c>
      <c r="V192" s="4">
        <v>97459</v>
      </c>
      <c r="W192" s="4" t="s">
        <v>58</v>
      </c>
      <c r="X192" s="4">
        <v>1717662512</v>
      </c>
      <c r="Y192" s="4" t="s">
        <v>71</v>
      </c>
      <c r="Z192" s="4" t="s">
        <v>55</v>
      </c>
      <c r="AA192" s="4" t="s">
        <v>116</v>
      </c>
      <c r="AB192" s="4" t="s">
        <v>61</v>
      </c>
      <c r="AC192" s="4" t="s">
        <v>73</v>
      </c>
      <c r="AD192" s="4" t="s">
        <v>62</v>
      </c>
      <c r="AE192" s="4" t="s">
        <v>55</v>
      </c>
      <c r="AF192" s="4" t="s">
        <v>55</v>
      </c>
      <c r="AG192" s="4" t="s">
        <v>468</v>
      </c>
      <c r="AH192" s="4">
        <v>0</v>
      </c>
      <c r="AI192" s="4" t="s">
        <v>312</v>
      </c>
      <c r="AJ192" s="4" t="s">
        <v>55</v>
      </c>
      <c r="AK192" s="5">
        <v>45972</v>
      </c>
      <c r="AL192" s="6">
        <v>45972</v>
      </c>
      <c r="AM192" s="6">
        <v>46081</v>
      </c>
      <c r="AN192" s="4">
        <v>3</v>
      </c>
      <c r="AO192" s="6">
        <v>47066</v>
      </c>
      <c r="AP192" s="9">
        <v>44.85</v>
      </c>
      <c r="AQ192" s="9">
        <v>4.49</v>
      </c>
      <c r="AR192" s="9">
        <v>40.79</v>
      </c>
      <c r="AS192" s="9">
        <v>4.0599999999999996</v>
      </c>
      <c r="AT192" s="4" t="s">
        <v>49</v>
      </c>
    </row>
    <row r="193" spans="1:46" ht="60" x14ac:dyDescent="0.25">
      <c r="A193" s="4">
        <v>40586847</v>
      </c>
      <c r="B193" s="4" t="str">
        <f>""</f>
        <v/>
      </c>
      <c r="C193" s="4" t="str">
        <f>"700100960001"</f>
        <v>700100960001</v>
      </c>
      <c r="D193" s="4">
        <v>76</v>
      </c>
      <c r="E193" s="4" t="s">
        <v>132</v>
      </c>
      <c r="F193" s="4" t="s">
        <v>404</v>
      </c>
      <c r="G193" s="4" t="str">
        <f>"2XAL7B"</f>
        <v>2XAL7B</v>
      </c>
      <c r="H193" s="4" t="str">
        <f>"BLACKWIRE 3220-C3220 USB-A"</f>
        <v>BLACKWIRE 3220-C3220 USB-A</v>
      </c>
      <c r="I193" s="4" t="str">
        <f>"PLANTRONICS"</f>
        <v>PLANTRONICS</v>
      </c>
      <c r="J193" s="4"/>
      <c r="K193" s="4"/>
      <c r="L193" s="9">
        <v>45.4</v>
      </c>
      <c r="M193" s="4"/>
      <c r="N193" s="4" t="s">
        <v>406</v>
      </c>
      <c r="O193" s="4" t="s">
        <v>255</v>
      </c>
      <c r="P193" s="4" t="s">
        <v>407</v>
      </c>
      <c r="Q193" s="4" t="s">
        <v>54</v>
      </c>
      <c r="R193" s="4" t="s">
        <v>55</v>
      </c>
      <c r="S193" s="4" t="s">
        <v>56</v>
      </c>
      <c r="T193" s="4">
        <v>6</v>
      </c>
      <c r="U193" s="4" t="s">
        <v>57</v>
      </c>
      <c r="V193" s="4">
        <v>97459</v>
      </c>
      <c r="W193" s="4" t="s">
        <v>58</v>
      </c>
      <c r="X193" s="4">
        <v>1717662512</v>
      </c>
      <c r="Y193" s="4" t="s">
        <v>71</v>
      </c>
      <c r="Z193" s="4" t="s">
        <v>55</v>
      </c>
      <c r="AA193" s="4" t="s">
        <v>116</v>
      </c>
      <c r="AB193" s="4" t="s">
        <v>61</v>
      </c>
      <c r="AC193" s="4" t="s">
        <v>73</v>
      </c>
      <c r="AD193" s="4" t="s">
        <v>62</v>
      </c>
      <c r="AE193" s="4" t="s">
        <v>55</v>
      </c>
      <c r="AF193" s="4" t="s">
        <v>55</v>
      </c>
      <c r="AG193" s="4" t="s">
        <v>471</v>
      </c>
      <c r="AH193" s="4">
        <v>0</v>
      </c>
      <c r="AI193" s="4" t="s">
        <v>312</v>
      </c>
      <c r="AJ193" s="4" t="s">
        <v>55</v>
      </c>
      <c r="AK193" s="5">
        <v>45972</v>
      </c>
      <c r="AL193" s="6">
        <v>45972</v>
      </c>
      <c r="AM193" s="6">
        <v>46081</v>
      </c>
      <c r="AN193" s="4">
        <v>3</v>
      </c>
      <c r="AO193" s="6">
        <v>47066</v>
      </c>
      <c r="AP193" s="9">
        <v>45.4</v>
      </c>
      <c r="AQ193" s="9">
        <v>4.54</v>
      </c>
      <c r="AR193" s="9">
        <v>41.3</v>
      </c>
      <c r="AS193" s="9">
        <v>4.0999999999999996</v>
      </c>
      <c r="AT193" s="4" t="s">
        <v>49</v>
      </c>
    </row>
    <row r="194" spans="1:46" ht="60" x14ac:dyDescent="0.25">
      <c r="A194" s="4">
        <v>40586895</v>
      </c>
      <c r="B194" s="4" t="str">
        <f>""</f>
        <v/>
      </c>
      <c r="C194" s="4" t="str">
        <f>"700100960001"</f>
        <v>700100960001</v>
      </c>
      <c r="D194" s="4">
        <v>78</v>
      </c>
      <c r="E194" s="4" t="s">
        <v>132</v>
      </c>
      <c r="F194" s="4" t="s">
        <v>404</v>
      </c>
      <c r="G194" s="4" t="str">
        <f>"2229F3"</f>
        <v>2229F3</v>
      </c>
      <c r="H194" s="4" t="str">
        <f>"BLACKWIRE 3220-C3220 USB-A"</f>
        <v>BLACKWIRE 3220-C3220 USB-A</v>
      </c>
      <c r="I194" s="4" t="str">
        <f>"PLANTRONICS"</f>
        <v>PLANTRONICS</v>
      </c>
      <c r="J194" s="4"/>
      <c r="K194" s="4"/>
      <c r="L194" s="9">
        <v>39.47</v>
      </c>
      <c r="M194" s="4"/>
      <c r="N194" s="4" t="s">
        <v>406</v>
      </c>
      <c r="O194" s="4" t="s">
        <v>255</v>
      </c>
      <c r="P194" s="4" t="s">
        <v>407</v>
      </c>
      <c r="Q194" s="4" t="s">
        <v>54</v>
      </c>
      <c r="R194" s="4" t="s">
        <v>55</v>
      </c>
      <c r="S194" s="4" t="s">
        <v>56</v>
      </c>
      <c r="T194" s="4">
        <v>6</v>
      </c>
      <c r="U194" s="4" t="s">
        <v>57</v>
      </c>
      <c r="V194" s="4">
        <v>97459</v>
      </c>
      <c r="W194" s="4" t="s">
        <v>58</v>
      </c>
      <c r="X194" s="4">
        <v>1722641816</v>
      </c>
      <c r="Y194" s="4" t="s">
        <v>222</v>
      </c>
      <c r="Z194" s="4" t="s">
        <v>55</v>
      </c>
      <c r="AA194" s="4" t="s">
        <v>116</v>
      </c>
      <c r="AB194" s="4" t="s">
        <v>61</v>
      </c>
      <c r="AC194" s="4" t="s">
        <v>73</v>
      </c>
      <c r="AD194" s="4" t="s">
        <v>62</v>
      </c>
      <c r="AE194" s="4" t="s">
        <v>55</v>
      </c>
      <c r="AF194" s="4" t="s">
        <v>55</v>
      </c>
      <c r="AG194" s="4" t="s">
        <v>474</v>
      </c>
      <c r="AH194" s="4">
        <v>0</v>
      </c>
      <c r="AI194" s="4" t="s">
        <v>312</v>
      </c>
      <c r="AJ194" s="4" t="s">
        <v>55</v>
      </c>
      <c r="AK194" s="5">
        <v>45972</v>
      </c>
      <c r="AL194" s="6">
        <v>45972</v>
      </c>
      <c r="AM194" s="6">
        <v>46081</v>
      </c>
      <c r="AN194" s="4">
        <v>3</v>
      </c>
      <c r="AO194" s="6">
        <v>47066</v>
      </c>
      <c r="AP194" s="9">
        <v>39.47</v>
      </c>
      <c r="AQ194" s="9">
        <v>3.95</v>
      </c>
      <c r="AR194" s="9">
        <v>35.9</v>
      </c>
      <c r="AS194" s="9">
        <v>3.57</v>
      </c>
      <c r="AT194" s="4" t="s">
        <v>49</v>
      </c>
    </row>
    <row r="195" spans="1:46" ht="75" x14ac:dyDescent="0.25">
      <c r="A195" s="4">
        <v>40631235</v>
      </c>
      <c r="B195" s="4" t="str">
        <f>""</f>
        <v/>
      </c>
      <c r="C195" s="4" t="str">
        <f>"700100070001"</f>
        <v>700100070001</v>
      </c>
      <c r="D195" s="4">
        <v>117</v>
      </c>
      <c r="E195" s="4" t="s">
        <v>132</v>
      </c>
      <c r="F195" s="4" t="s">
        <v>316</v>
      </c>
      <c r="G195" s="4" t="str">
        <f>"FJF4CS3"</f>
        <v>FJF4CS3</v>
      </c>
      <c r="H195" s="4" t="str">
        <f>"LATITUDE 3520"</f>
        <v>LATITUDE 3520</v>
      </c>
      <c r="I195" s="4" t="str">
        <f>"DELL"</f>
        <v>DELL</v>
      </c>
      <c r="J195" s="4"/>
      <c r="K195" s="4"/>
      <c r="L195" s="9">
        <v>1135</v>
      </c>
      <c r="M195" s="4"/>
      <c r="N195" s="4" t="s">
        <v>113</v>
      </c>
      <c r="O195" s="4" t="s">
        <v>114</v>
      </c>
      <c r="P195" s="4" t="s">
        <v>423</v>
      </c>
      <c r="Q195" s="4" t="s">
        <v>54</v>
      </c>
      <c r="R195" s="4" t="s">
        <v>55</v>
      </c>
      <c r="S195" s="4" t="s">
        <v>56</v>
      </c>
      <c r="T195" s="4">
        <v>6</v>
      </c>
      <c r="U195" s="4" t="s">
        <v>57</v>
      </c>
      <c r="V195" s="4">
        <v>97459</v>
      </c>
      <c r="W195" s="4" t="s">
        <v>58</v>
      </c>
      <c r="X195" s="4">
        <v>1717662512</v>
      </c>
      <c r="Y195" s="4" t="s">
        <v>71</v>
      </c>
      <c r="Z195" s="4" t="s">
        <v>55</v>
      </c>
      <c r="AA195" s="4" t="s">
        <v>116</v>
      </c>
      <c r="AB195" s="4" t="s">
        <v>61</v>
      </c>
      <c r="AC195" s="4" t="s">
        <v>73</v>
      </c>
      <c r="AD195" s="4" t="s">
        <v>62</v>
      </c>
      <c r="AE195" s="4" t="s">
        <v>55</v>
      </c>
      <c r="AF195" s="4" t="s">
        <v>55</v>
      </c>
      <c r="AG195" s="4" t="s">
        <v>477</v>
      </c>
      <c r="AH195" s="4">
        <v>0</v>
      </c>
      <c r="AI195" s="4" t="s">
        <v>312</v>
      </c>
      <c r="AJ195" s="4" t="s">
        <v>55</v>
      </c>
      <c r="AK195" s="5">
        <v>45985</v>
      </c>
      <c r="AL195" s="6">
        <v>45985</v>
      </c>
      <c r="AM195" s="6">
        <v>46081</v>
      </c>
      <c r="AN195" s="4">
        <v>3</v>
      </c>
      <c r="AO195" s="6">
        <v>47079</v>
      </c>
      <c r="AP195" s="9">
        <v>1225</v>
      </c>
      <c r="AQ195" s="9">
        <v>122.5</v>
      </c>
      <c r="AR195" s="9">
        <v>1127.3399999999999</v>
      </c>
      <c r="AS195" s="9">
        <v>97.66</v>
      </c>
      <c r="AT195" s="4" t="s">
        <v>49</v>
      </c>
    </row>
    <row r="196" spans="1:46" ht="60" x14ac:dyDescent="0.25">
      <c r="A196" s="4">
        <v>40588670</v>
      </c>
      <c r="B196" s="4" t="str">
        <f>""</f>
        <v/>
      </c>
      <c r="C196" s="4" t="str">
        <f>"700100960001"</f>
        <v>700100960001</v>
      </c>
      <c r="D196" s="4">
        <v>85</v>
      </c>
      <c r="E196" s="4" t="s">
        <v>132</v>
      </c>
      <c r="F196" s="4" t="s">
        <v>404</v>
      </c>
      <c r="G196" s="4" t="str">
        <f>"2F7PJV"</f>
        <v>2F7PJV</v>
      </c>
      <c r="H196" s="4" t="str">
        <f>"BLACKWIRE 3220-C3220 USB-A"</f>
        <v>BLACKWIRE 3220-C3220 USB-A</v>
      </c>
      <c r="I196" s="4" t="str">
        <f>"PLANTRONICS"</f>
        <v>PLANTRONICS</v>
      </c>
      <c r="J196" s="4"/>
      <c r="K196" s="4"/>
      <c r="L196" s="9">
        <v>44.85</v>
      </c>
      <c r="M196" s="4"/>
      <c r="N196" s="4" t="s">
        <v>406</v>
      </c>
      <c r="O196" s="4" t="s">
        <v>255</v>
      </c>
      <c r="P196" s="4" t="s">
        <v>407</v>
      </c>
      <c r="Q196" s="4" t="s">
        <v>54</v>
      </c>
      <c r="R196" s="4" t="s">
        <v>55</v>
      </c>
      <c r="S196" s="4" t="s">
        <v>56</v>
      </c>
      <c r="T196" s="4">
        <v>6</v>
      </c>
      <c r="U196" s="4" t="s">
        <v>57</v>
      </c>
      <c r="V196" s="4">
        <v>97459</v>
      </c>
      <c r="W196" s="4" t="s">
        <v>58</v>
      </c>
      <c r="X196" s="4">
        <v>1717662512</v>
      </c>
      <c r="Y196" s="4" t="s">
        <v>71</v>
      </c>
      <c r="Z196" s="4" t="s">
        <v>55</v>
      </c>
      <c r="AA196" s="4" t="s">
        <v>116</v>
      </c>
      <c r="AB196" s="4" t="s">
        <v>61</v>
      </c>
      <c r="AC196" s="4" t="s">
        <v>73</v>
      </c>
      <c r="AD196" s="4" t="s">
        <v>62</v>
      </c>
      <c r="AE196" s="4" t="s">
        <v>55</v>
      </c>
      <c r="AF196" s="4" t="s">
        <v>55</v>
      </c>
      <c r="AG196" s="4" t="s">
        <v>478</v>
      </c>
      <c r="AH196" s="4">
        <v>0</v>
      </c>
      <c r="AI196" s="4" t="s">
        <v>312</v>
      </c>
      <c r="AJ196" s="4" t="s">
        <v>55</v>
      </c>
      <c r="AK196" s="5">
        <v>45973</v>
      </c>
      <c r="AL196" s="6">
        <v>45973</v>
      </c>
      <c r="AM196" s="6">
        <v>46081</v>
      </c>
      <c r="AN196" s="4">
        <v>3</v>
      </c>
      <c r="AO196" s="6">
        <v>47067</v>
      </c>
      <c r="AP196" s="9">
        <v>44.85</v>
      </c>
      <c r="AQ196" s="9">
        <v>4.49</v>
      </c>
      <c r="AR196" s="9">
        <v>40.83</v>
      </c>
      <c r="AS196" s="9">
        <v>4.0199999999999996</v>
      </c>
      <c r="AT196" s="4" t="s">
        <v>49</v>
      </c>
    </row>
    <row r="197" spans="1:46" ht="60" x14ac:dyDescent="0.25">
      <c r="A197" s="4">
        <v>40565757</v>
      </c>
      <c r="B197" s="4" t="str">
        <f>""</f>
        <v/>
      </c>
      <c r="C197" s="4" t="str">
        <f>"700100070001"</f>
        <v>700100070001</v>
      </c>
      <c r="D197" s="4">
        <v>31</v>
      </c>
      <c r="E197" s="4" t="s">
        <v>132</v>
      </c>
      <c r="F197" s="4" t="s">
        <v>316</v>
      </c>
      <c r="G197" s="4" t="str">
        <f>"PC1A0XKT"</f>
        <v>PC1A0XKT</v>
      </c>
      <c r="H197" s="4" t="str">
        <f>"THINKPAD T490"</f>
        <v>THINKPAD T490</v>
      </c>
      <c r="I197" s="4" t="str">
        <f>"LENOVO"</f>
        <v>LENOVO</v>
      </c>
      <c r="J197" s="4"/>
      <c r="K197" s="4"/>
      <c r="L197" s="9">
        <v>1194</v>
      </c>
      <c r="M197" s="4"/>
      <c r="N197" s="4" t="s">
        <v>113</v>
      </c>
      <c r="O197" s="4" t="s">
        <v>255</v>
      </c>
      <c r="P197" s="4" t="s">
        <v>392</v>
      </c>
      <c r="Q197" s="4" t="s">
        <v>54</v>
      </c>
      <c r="R197" s="4" t="s">
        <v>55</v>
      </c>
      <c r="S197" s="4" t="s">
        <v>56</v>
      </c>
      <c r="T197" s="4">
        <v>6</v>
      </c>
      <c r="U197" s="4" t="s">
        <v>57</v>
      </c>
      <c r="V197" s="4">
        <v>97459</v>
      </c>
      <c r="W197" s="4" t="s">
        <v>58</v>
      </c>
      <c r="X197" s="4">
        <v>1717662512</v>
      </c>
      <c r="Y197" s="4" t="s">
        <v>71</v>
      </c>
      <c r="Z197" s="4" t="s">
        <v>55</v>
      </c>
      <c r="AA197" s="4" t="s">
        <v>116</v>
      </c>
      <c r="AB197" s="4" t="s">
        <v>61</v>
      </c>
      <c r="AC197" s="4" t="s">
        <v>73</v>
      </c>
      <c r="AD197" s="4" t="s">
        <v>62</v>
      </c>
      <c r="AE197" s="4" t="s">
        <v>55</v>
      </c>
      <c r="AF197" s="4" t="s">
        <v>55</v>
      </c>
      <c r="AG197" s="4" t="s">
        <v>481</v>
      </c>
      <c r="AH197" s="4">
        <v>0</v>
      </c>
      <c r="AI197" s="4" t="s">
        <v>312</v>
      </c>
      <c r="AJ197" s="4" t="s">
        <v>55</v>
      </c>
      <c r="AK197" s="5">
        <v>45967</v>
      </c>
      <c r="AL197" s="6">
        <v>45967</v>
      </c>
      <c r="AM197" s="6">
        <v>46081</v>
      </c>
      <c r="AN197" s="4">
        <v>3</v>
      </c>
      <c r="AO197" s="6">
        <v>47061</v>
      </c>
      <c r="AP197" s="9">
        <v>1194</v>
      </c>
      <c r="AQ197" s="9">
        <v>119.4</v>
      </c>
      <c r="AR197" s="9">
        <v>1081.1500000000001</v>
      </c>
      <c r="AS197" s="9">
        <v>112.85</v>
      </c>
      <c r="AT197" s="4" t="s">
        <v>49</v>
      </c>
    </row>
    <row r="198" spans="1:46" ht="60" x14ac:dyDescent="0.25">
      <c r="A198" s="4">
        <v>40586766</v>
      </c>
      <c r="B198" s="4" t="str">
        <f>""</f>
        <v/>
      </c>
      <c r="C198" s="4" t="str">
        <f>"700100960001"</f>
        <v>700100960001</v>
      </c>
      <c r="D198" s="4">
        <v>75</v>
      </c>
      <c r="E198" s="4" t="s">
        <v>132</v>
      </c>
      <c r="F198" s="4" t="s">
        <v>404</v>
      </c>
      <c r="G198" s="4" t="str">
        <f>"2V1H5U"</f>
        <v>2V1H5U</v>
      </c>
      <c r="H198" s="4" t="str">
        <f>"BLACKWIRE 3220-C3220 USB-A"</f>
        <v>BLACKWIRE 3220-C3220 USB-A</v>
      </c>
      <c r="I198" s="4" t="str">
        <f>"PLANTRONICS"</f>
        <v>PLANTRONICS</v>
      </c>
      <c r="J198" s="4"/>
      <c r="K198" s="4"/>
      <c r="L198" s="9">
        <v>45.4</v>
      </c>
      <c r="M198" s="4"/>
      <c r="N198" s="4" t="s">
        <v>406</v>
      </c>
      <c r="O198" s="4" t="s">
        <v>255</v>
      </c>
      <c r="P198" s="4" t="s">
        <v>407</v>
      </c>
      <c r="Q198" s="4" t="s">
        <v>54</v>
      </c>
      <c r="R198" s="4" t="s">
        <v>55</v>
      </c>
      <c r="S198" s="4" t="s">
        <v>56</v>
      </c>
      <c r="T198" s="4">
        <v>6</v>
      </c>
      <c r="U198" s="4" t="s">
        <v>57</v>
      </c>
      <c r="V198" s="4">
        <v>97459</v>
      </c>
      <c r="W198" s="4" t="s">
        <v>58</v>
      </c>
      <c r="X198" s="4">
        <v>1717662512</v>
      </c>
      <c r="Y198" s="4" t="s">
        <v>71</v>
      </c>
      <c r="Z198" s="4" t="s">
        <v>55</v>
      </c>
      <c r="AA198" s="4" t="s">
        <v>116</v>
      </c>
      <c r="AB198" s="4" t="s">
        <v>61</v>
      </c>
      <c r="AC198" s="4" t="s">
        <v>73</v>
      </c>
      <c r="AD198" s="4" t="s">
        <v>62</v>
      </c>
      <c r="AE198" s="4" t="s">
        <v>55</v>
      </c>
      <c r="AF198" s="4" t="s">
        <v>55</v>
      </c>
      <c r="AG198" s="4" t="s">
        <v>482</v>
      </c>
      <c r="AH198" s="4">
        <v>0</v>
      </c>
      <c r="AI198" s="4" t="s">
        <v>312</v>
      </c>
      <c r="AJ198" s="4" t="s">
        <v>55</v>
      </c>
      <c r="AK198" s="5">
        <v>45972</v>
      </c>
      <c r="AL198" s="6">
        <v>45972</v>
      </c>
      <c r="AM198" s="6">
        <v>46081</v>
      </c>
      <c r="AN198" s="4">
        <v>3</v>
      </c>
      <c r="AO198" s="6">
        <v>47066</v>
      </c>
      <c r="AP198" s="9">
        <v>45.4</v>
      </c>
      <c r="AQ198" s="9">
        <v>4.54</v>
      </c>
      <c r="AR198" s="9">
        <v>41.3</v>
      </c>
      <c r="AS198" s="9">
        <v>4.0999999999999996</v>
      </c>
      <c r="AT198" s="4" t="s">
        <v>49</v>
      </c>
    </row>
    <row r="199" spans="1:46" ht="60" x14ac:dyDescent="0.25">
      <c r="A199" s="4">
        <v>40588882</v>
      </c>
      <c r="B199" s="4" t="str">
        <f>""</f>
        <v/>
      </c>
      <c r="C199" s="4" t="str">
        <f>"700100960001"</f>
        <v>700100960001</v>
      </c>
      <c r="D199" s="4">
        <v>89</v>
      </c>
      <c r="E199" s="4" t="s">
        <v>132</v>
      </c>
      <c r="F199" s="4" t="s">
        <v>404</v>
      </c>
      <c r="G199" s="4" t="str">
        <f>"2XAL5V"</f>
        <v>2XAL5V</v>
      </c>
      <c r="H199" s="4" t="str">
        <f>"BLACKWIRE 3220-C3220 USB-A"</f>
        <v>BLACKWIRE 3220-C3220 USB-A</v>
      </c>
      <c r="I199" s="4" t="str">
        <f>"PLANTRONICS"</f>
        <v>PLANTRONICS</v>
      </c>
      <c r="J199" s="4"/>
      <c r="K199" s="4"/>
      <c r="L199" s="9">
        <v>45.4</v>
      </c>
      <c r="M199" s="4"/>
      <c r="N199" s="4" t="s">
        <v>406</v>
      </c>
      <c r="O199" s="4" t="s">
        <v>255</v>
      </c>
      <c r="P199" s="4" t="s">
        <v>407</v>
      </c>
      <c r="Q199" s="4" t="s">
        <v>54</v>
      </c>
      <c r="R199" s="4" t="s">
        <v>55</v>
      </c>
      <c r="S199" s="4" t="s">
        <v>56</v>
      </c>
      <c r="T199" s="4">
        <v>6</v>
      </c>
      <c r="U199" s="4" t="s">
        <v>57</v>
      </c>
      <c r="V199" s="4">
        <v>97459</v>
      </c>
      <c r="W199" s="4" t="s">
        <v>58</v>
      </c>
      <c r="X199" s="4">
        <v>1717662512</v>
      </c>
      <c r="Y199" s="4" t="s">
        <v>71</v>
      </c>
      <c r="Z199" s="4" t="s">
        <v>55</v>
      </c>
      <c r="AA199" s="4" t="s">
        <v>116</v>
      </c>
      <c r="AB199" s="4" t="s">
        <v>61</v>
      </c>
      <c r="AC199" s="4" t="s">
        <v>73</v>
      </c>
      <c r="AD199" s="4" t="s">
        <v>62</v>
      </c>
      <c r="AE199" s="4" t="s">
        <v>55</v>
      </c>
      <c r="AF199" s="4" t="s">
        <v>55</v>
      </c>
      <c r="AG199" s="4" t="s">
        <v>483</v>
      </c>
      <c r="AH199" s="4">
        <v>0</v>
      </c>
      <c r="AI199" s="4" t="s">
        <v>312</v>
      </c>
      <c r="AJ199" s="4" t="s">
        <v>55</v>
      </c>
      <c r="AK199" s="5">
        <v>45973</v>
      </c>
      <c r="AL199" s="6">
        <v>45973</v>
      </c>
      <c r="AM199" s="6">
        <v>46081</v>
      </c>
      <c r="AN199" s="4">
        <v>3</v>
      </c>
      <c r="AO199" s="6">
        <v>47067</v>
      </c>
      <c r="AP199" s="9">
        <v>45.4</v>
      </c>
      <c r="AQ199" s="9">
        <v>4.54</v>
      </c>
      <c r="AR199" s="9">
        <v>41.34</v>
      </c>
      <c r="AS199" s="9">
        <v>4.0599999999999996</v>
      </c>
      <c r="AT199" s="4" t="s">
        <v>49</v>
      </c>
    </row>
    <row r="200" spans="1:46" ht="60" x14ac:dyDescent="0.25">
      <c r="A200" s="4">
        <v>40565324</v>
      </c>
      <c r="B200" s="4" t="str">
        <f>""</f>
        <v/>
      </c>
      <c r="C200" s="4" t="str">
        <f>"700100070001"</f>
        <v>700100070001</v>
      </c>
      <c r="D200" s="4">
        <v>19</v>
      </c>
      <c r="E200" s="4" t="s">
        <v>132</v>
      </c>
      <c r="F200" s="4" t="s">
        <v>316</v>
      </c>
      <c r="G200" s="4" t="str">
        <f>"SPC18G353"</f>
        <v>SPC18G353</v>
      </c>
      <c r="H200" s="4" t="str">
        <f>"THINKPAD T490"</f>
        <v>THINKPAD T490</v>
      </c>
      <c r="I200" s="4" t="str">
        <f>"LENOVO"</f>
        <v>LENOVO</v>
      </c>
      <c r="J200" s="4"/>
      <c r="K200" s="4"/>
      <c r="L200" s="9">
        <v>1213</v>
      </c>
      <c r="M200" s="4"/>
      <c r="N200" s="4" t="s">
        <v>113</v>
      </c>
      <c r="O200" s="4" t="s">
        <v>255</v>
      </c>
      <c r="P200" s="4" t="s">
        <v>392</v>
      </c>
      <c r="Q200" s="4" t="s">
        <v>54</v>
      </c>
      <c r="R200" s="4" t="s">
        <v>55</v>
      </c>
      <c r="S200" s="4" t="s">
        <v>56</v>
      </c>
      <c r="T200" s="4">
        <v>6</v>
      </c>
      <c r="U200" s="4" t="s">
        <v>57</v>
      </c>
      <c r="V200" s="4">
        <v>97459</v>
      </c>
      <c r="W200" s="4" t="s">
        <v>58</v>
      </c>
      <c r="X200" s="4">
        <v>1717662512</v>
      </c>
      <c r="Y200" s="4" t="s">
        <v>71</v>
      </c>
      <c r="Z200" s="4" t="s">
        <v>55</v>
      </c>
      <c r="AA200" s="4" t="s">
        <v>116</v>
      </c>
      <c r="AB200" s="4" t="s">
        <v>61</v>
      </c>
      <c r="AC200" s="4" t="s">
        <v>73</v>
      </c>
      <c r="AD200" s="4" t="s">
        <v>62</v>
      </c>
      <c r="AE200" s="4" t="s">
        <v>55</v>
      </c>
      <c r="AF200" s="4" t="s">
        <v>55</v>
      </c>
      <c r="AG200" s="4" t="s">
        <v>484</v>
      </c>
      <c r="AH200" s="4">
        <v>0</v>
      </c>
      <c r="AI200" s="4" t="s">
        <v>312</v>
      </c>
      <c r="AJ200" s="4" t="s">
        <v>55</v>
      </c>
      <c r="AK200" s="5">
        <v>45967</v>
      </c>
      <c r="AL200" s="6">
        <v>45967</v>
      </c>
      <c r="AM200" s="6">
        <v>46081</v>
      </c>
      <c r="AN200" s="4">
        <v>3</v>
      </c>
      <c r="AO200" s="6">
        <v>47061</v>
      </c>
      <c r="AP200" s="9">
        <v>1213</v>
      </c>
      <c r="AQ200" s="9">
        <v>121.3</v>
      </c>
      <c r="AR200" s="9">
        <v>1098.3499999999999</v>
      </c>
      <c r="AS200" s="9">
        <v>114.65</v>
      </c>
      <c r="AT200" s="4" t="s">
        <v>49</v>
      </c>
    </row>
    <row r="201" spans="1:46" ht="75" x14ac:dyDescent="0.25">
      <c r="A201" s="4">
        <v>40631236</v>
      </c>
      <c r="B201" s="4" t="str">
        <f>""</f>
        <v/>
      </c>
      <c r="C201" s="4" t="str">
        <f>"700100070001"</f>
        <v>700100070001</v>
      </c>
      <c r="D201" s="4">
        <v>118</v>
      </c>
      <c r="E201" s="4" t="s">
        <v>132</v>
      </c>
      <c r="F201" s="4" t="s">
        <v>316</v>
      </c>
      <c r="G201" s="4" t="str">
        <f>"FKF4CS3"</f>
        <v>FKF4CS3</v>
      </c>
      <c r="H201" s="4" t="str">
        <f>"LATITUDE 3520"</f>
        <v>LATITUDE 3520</v>
      </c>
      <c r="I201" s="4" t="str">
        <f>"DELL"</f>
        <v>DELL</v>
      </c>
      <c r="J201" s="4"/>
      <c r="K201" s="4"/>
      <c r="L201" s="9">
        <v>1135</v>
      </c>
      <c r="M201" s="4"/>
      <c r="N201" s="4" t="s">
        <v>113</v>
      </c>
      <c r="O201" s="4" t="s">
        <v>114</v>
      </c>
      <c r="P201" s="4" t="s">
        <v>423</v>
      </c>
      <c r="Q201" s="4" t="s">
        <v>54</v>
      </c>
      <c r="R201" s="4" t="s">
        <v>55</v>
      </c>
      <c r="S201" s="4" t="s">
        <v>56</v>
      </c>
      <c r="T201" s="4">
        <v>6</v>
      </c>
      <c r="U201" s="4" t="s">
        <v>57</v>
      </c>
      <c r="V201" s="4">
        <v>97459</v>
      </c>
      <c r="W201" s="4" t="s">
        <v>58</v>
      </c>
      <c r="X201" s="4">
        <v>1717662512</v>
      </c>
      <c r="Y201" s="4" t="s">
        <v>71</v>
      </c>
      <c r="Z201" s="4" t="s">
        <v>55</v>
      </c>
      <c r="AA201" s="4" t="s">
        <v>116</v>
      </c>
      <c r="AB201" s="4" t="s">
        <v>61</v>
      </c>
      <c r="AC201" s="4" t="s">
        <v>73</v>
      </c>
      <c r="AD201" s="4" t="s">
        <v>62</v>
      </c>
      <c r="AE201" s="4" t="s">
        <v>55</v>
      </c>
      <c r="AF201" s="4" t="s">
        <v>55</v>
      </c>
      <c r="AG201" s="4" t="s">
        <v>488</v>
      </c>
      <c r="AH201" s="4">
        <v>0</v>
      </c>
      <c r="AI201" s="4" t="s">
        <v>312</v>
      </c>
      <c r="AJ201" s="4" t="s">
        <v>55</v>
      </c>
      <c r="AK201" s="5">
        <v>45985</v>
      </c>
      <c r="AL201" s="6">
        <v>45985</v>
      </c>
      <c r="AM201" s="6">
        <v>46081</v>
      </c>
      <c r="AN201" s="4">
        <v>3</v>
      </c>
      <c r="AO201" s="6">
        <v>47079</v>
      </c>
      <c r="AP201" s="9">
        <v>1225</v>
      </c>
      <c r="AQ201" s="9">
        <v>122.5</v>
      </c>
      <c r="AR201" s="9">
        <v>1127.3399999999999</v>
      </c>
      <c r="AS201" s="9">
        <v>97.66</v>
      </c>
      <c r="AT201" s="4" t="s">
        <v>49</v>
      </c>
    </row>
    <row r="202" spans="1:46" ht="60" x14ac:dyDescent="0.25">
      <c r="A202" s="4">
        <v>40577502</v>
      </c>
      <c r="B202" s="4" t="str">
        <f>""</f>
        <v/>
      </c>
      <c r="C202" s="4" t="str">
        <f>"700100440001"</f>
        <v>700100440001</v>
      </c>
      <c r="D202" s="4">
        <v>42</v>
      </c>
      <c r="E202" s="4" t="s">
        <v>132</v>
      </c>
      <c r="F202" s="4" t="s">
        <v>412</v>
      </c>
      <c r="G202" s="4" t="str">
        <f>"CNC9192TFF"</f>
        <v>CNC9192TFF</v>
      </c>
      <c r="H202" s="4" t="str">
        <f>"ELITEDISPLAY E243D 23,8"</f>
        <v>ELITEDISPLAY E243D 23,8</v>
      </c>
      <c r="I202" s="4" t="str">
        <f>"HP"</f>
        <v>HP</v>
      </c>
      <c r="J202" s="4"/>
      <c r="K202" s="4"/>
      <c r="L202" s="9">
        <v>298</v>
      </c>
      <c r="M202" s="4"/>
      <c r="N202" s="4" t="s">
        <v>233</v>
      </c>
      <c r="O202" s="4" t="s">
        <v>114</v>
      </c>
      <c r="P202" s="4" t="s">
        <v>428</v>
      </c>
      <c r="Q202" s="4" t="s">
        <v>54</v>
      </c>
      <c r="R202" s="4" t="s">
        <v>55</v>
      </c>
      <c r="S202" s="4" t="s">
        <v>56</v>
      </c>
      <c r="T202" s="4">
        <v>6</v>
      </c>
      <c r="U202" s="4" t="s">
        <v>57</v>
      </c>
      <c r="V202" s="4">
        <v>97459</v>
      </c>
      <c r="W202" s="4" t="s">
        <v>58</v>
      </c>
      <c r="X202" s="4">
        <v>1717662512</v>
      </c>
      <c r="Y202" s="4" t="s">
        <v>71</v>
      </c>
      <c r="Z202" s="4" t="s">
        <v>55</v>
      </c>
      <c r="AA202" s="4" t="s">
        <v>116</v>
      </c>
      <c r="AB202" s="4" t="s">
        <v>61</v>
      </c>
      <c r="AC202" s="4" t="s">
        <v>73</v>
      </c>
      <c r="AD202" s="4" t="s">
        <v>62</v>
      </c>
      <c r="AE202" s="4" t="s">
        <v>55</v>
      </c>
      <c r="AF202" s="4" t="s">
        <v>55</v>
      </c>
      <c r="AG202" s="4" t="s">
        <v>489</v>
      </c>
      <c r="AH202" s="4">
        <v>0</v>
      </c>
      <c r="AI202" s="4" t="s">
        <v>312</v>
      </c>
      <c r="AJ202" s="4" t="s">
        <v>55</v>
      </c>
      <c r="AK202" s="5">
        <v>45968</v>
      </c>
      <c r="AL202" s="6">
        <v>45968</v>
      </c>
      <c r="AM202" s="6">
        <v>46081</v>
      </c>
      <c r="AN202" s="4">
        <v>1</v>
      </c>
      <c r="AO202" s="6">
        <v>46332</v>
      </c>
      <c r="AP202" s="9">
        <v>298</v>
      </c>
      <c r="AQ202" s="9">
        <v>29.8</v>
      </c>
      <c r="AR202" s="9">
        <v>214.24</v>
      </c>
      <c r="AS202" s="9">
        <v>83.76</v>
      </c>
      <c r="AT202" s="4" t="s">
        <v>49</v>
      </c>
    </row>
    <row r="203" spans="1:46" ht="60" x14ac:dyDescent="0.25">
      <c r="A203" s="4">
        <v>40586878</v>
      </c>
      <c r="B203" s="4" t="str">
        <f>""</f>
        <v/>
      </c>
      <c r="C203" s="4" t="str">
        <f>"700100960001"</f>
        <v>700100960001</v>
      </c>
      <c r="D203" s="4">
        <v>77</v>
      </c>
      <c r="E203" s="4" t="s">
        <v>132</v>
      </c>
      <c r="F203" s="4" t="s">
        <v>404</v>
      </c>
      <c r="G203" s="4" t="str">
        <f>"2229ER"</f>
        <v>2229ER</v>
      </c>
      <c r="H203" s="4" t="str">
        <f>"BLACKWIRE 3220-C3220 USB-A"</f>
        <v>BLACKWIRE 3220-C3220 USB-A</v>
      </c>
      <c r="I203" s="4" t="str">
        <f>"PLANTRONICS"</f>
        <v>PLANTRONICS</v>
      </c>
      <c r="J203" s="4"/>
      <c r="K203" s="4"/>
      <c r="L203" s="9">
        <v>39.47</v>
      </c>
      <c r="M203" s="4"/>
      <c r="N203" s="4" t="s">
        <v>406</v>
      </c>
      <c r="O203" s="4" t="s">
        <v>255</v>
      </c>
      <c r="P203" s="4" t="s">
        <v>407</v>
      </c>
      <c r="Q203" s="4" t="s">
        <v>54</v>
      </c>
      <c r="R203" s="4" t="s">
        <v>55</v>
      </c>
      <c r="S203" s="4" t="s">
        <v>56</v>
      </c>
      <c r="T203" s="4">
        <v>6</v>
      </c>
      <c r="U203" s="4" t="s">
        <v>57</v>
      </c>
      <c r="V203" s="4">
        <v>97459</v>
      </c>
      <c r="W203" s="4" t="s">
        <v>58</v>
      </c>
      <c r="X203" s="4">
        <v>1717662512</v>
      </c>
      <c r="Y203" s="4" t="s">
        <v>71</v>
      </c>
      <c r="Z203" s="4" t="s">
        <v>55</v>
      </c>
      <c r="AA203" s="4" t="s">
        <v>116</v>
      </c>
      <c r="AB203" s="4" t="s">
        <v>61</v>
      </c>
      <c r="AC203" s="4" t="s">
        <v>73</v>
      </c>
      <c r="AD203" s="4" t="s">
        <v>62</v>
      </c>
      <c r="AE203" s="4" t="s">
        <v>55</v>
      </c>
      <c r="AF203" s="4" t="s">
        <v>55</v>
      </c>
      <c r="AG203" s="4" t="s">
        <v>492</v>
      </c>
      <c r="AH203" s="4">
        <v>0</v>
      </c>
      <c r="AI203" s="4" t="s">
        <v>312</v>
      </c>
      <c r="AJ203" s="4" t="s">
        <v>55</v>
      </c>
      <c r="AK203" s="5">
        <v>45972</v>
      </c>
      <c r="AL203" s="6">
        <v>45972</v>
      </c>
      <c r="AM203" s="6">
        <v>46081</v>
      </c>
      <c r="AN203" s="4">
        <v>3</v>
      </c>
      <c r="AO203" s="6">
        <v>47066</v>
      </c>
      <c r="AP203" s="9">
        <v>39.47</v>
      </c>
      <c r="AQ203" s="9">
        <v>3.95</v>
      </c>
      <c r="AR203" s="9">
        <v>35.9</v>
      </c>
      <c r="AS203" s="9">
        <v>3.57</v>
      </c>
      <c r="AT203" s="4" t="s">
        <v>49</v>
      </c>
    </row>
    <row r="204" spans="1:46" ht="60" x14ac:dyDescent="0.25">
      <c r="A204" s="4">
        <v>40577682</v>
      </c>
      <c r="B204" s="4" t="str">
        <f>""</f>
        <v/>
      </c>
      <c r="C204" s="4" t="str">
        <f>"700100440001"</f>
        <v>700100440001</v>
      </c>
      <c r="D204" s="4">
        <v>45</v>
      </c>
      <c r="E204" s="4" t="s">
        <v>132</v>
      </c>
      <c r="F204" s="4" t="s">
        <v>412</v>
      </c>
      <c r="G204" s="4" t="str">
        <f>"CNC9341VD6"</f>
        <v>CNC9341VD6</v>
      </c>
      <c r="H204" s="4" t="str">
        <f>"ELITEDISPLAY E243D 23,8"</f>
        <v>ELITEDISPLAY E243D 23,8</v>
      </c>
      <c r="I204" s="4" t="str">
        <f>"HP"</f>
        <v>HP</v>
      </c>
      <c r="J204" s="4"/>
      <c r="K204" s="4"/>
      <c r="L204" s="9">
        <v>297</v>
      </c>
      <c r="M204" s="4"/>
      <c r="N204" s="4" t="s">
        <v>233</v>
      </c>
      <c r="O204" s="4" t="s">
        <v>114</v>
      </c>
      <c r="P204" s="4" t="s">
        <v>428</v>
      </c>
      <c r="Q204" s="4" t="s">
        <v>54</v>
      </c>
      <c r="R204" s="4" t="s">
        <v>55</v>
      </c>
      <c r="S204" s="4" t="s">
        <v>56</v>
      </c>
      <c r="T204" s="4">
        <v>6</v>
      </c>
      <c r="U204" s="4" t="s">
        <v>57</v>
      </c>
      <c r="V204" s="4">
        <v>97459</v>
      </c>
      <c r="W204" s="4" t="s">
        <v>58</v>
      </c>
      <c r="X204" s="4">
        <v>1717662512</v>
      </c>
      <c r="Y204" s="4" t="s">
        <v>71</v>
      </c>
      <c r="Z204" s="4" t="s">
        <v>55</v>
      </c>
      <c r="AA204" s="4" t="s">
        <v>116</v>
      </c>
      <c r="AB204" s="4" t="s">
        <v>61</v>
      </c>
      <c r="AC204" s="4" t="s">
        <v>73</v>
      </c>
      <c r="AD204" s="4" t="s">
        <v>62</v>
      </c>
      <c r="AE204" s="4" t="s">
        <v>55</v>
      </c>
      <c r="AF204" s="4" t="s">
        <v>55</v>
      </c>
      <c r="AG204" s="4" t="s">
        <v>493</v>
      </c>
      <c r="AH204" s="4">
        <v>0</v>
      </c>
      <c r="AI204" s="4" t="s">
        <v>312</v>
      </c>
      <c r="AJ204" s="4" t="s">
        <v>55</v>
      </c>
      <c r="AK204" s="5">
        <v>45968</v>
      </c>
      <c r="AL204" s="6">
        <v>45968</v>
      </c>
      <c r="AM204" s="6">
        <v>46081</v>
      </c>
      <c r="AN204" s="4">
        <v>1</v>
      </c>
      <c r="AO204" s="6">
        <v>46332</v>
      </c>
      <c r="AP204" s="9">
        <v>297</v>
      </c>
      <c r="AQ204" s="9">
        <v>29.7</v>
      </c>
      <c r="AR204" s="9">
        <v>213.51</v>
      </c>
      <c r="AS204" s="9">
        <v>83.49</v>
      </c>
      <c r="AT204" s="4" t="s">
        <v>49</v>
      </c>
    </row>
    <row r="205" spans="1:46" ht="60" x14ac:dyDescent="0.25">
      <c r="A205" s="4">
        <v>40565844</v>
      </c>
      <c r="B205" s="4" t="str">
        <f>""</f>
        <v/>
      </c>
      <c r="C205" s="4" t="str">
        <f>"700100070001"</f>
        <v>700100070001</v>
      </c>
      <c r="D205" s="4">
        <v>33</v>
      </c>
      <c r="E205" s="4" t="s">
        <v>132</v>
      </c>
      <c r="F205" s="4" t="s">
        <v>316</v>
      </c>
      <c r="G205" s="4" t="str">
        <f>"SPC1EWQVZ"</f>
        <v>SPC1EWQVZ</v>
      </c>
      <c r="H205" s="4" t="str">
        <f>"THINKPAD T490"</f>
        <v>THINKPAD T490</v>
      </c>
      <c r="I205" s="4" t="str">
        <f>"LENOVO"</f>
        <v>LENOVO</v>
      </c>
      <c r="J205" s="4"/>
      <c r="K205" s="4"/>
      <c r="L205" s="9">
        <v>1183</v>
      </c>
      <c r="M205" s="4"/>
      <c r="N205" s="4" t="s">
        <v>113</v>
      </c>
      <c r="O205" s="4" t="s">
        <v>255</v>
      </c>
      <c r="P205" s="4" t="s">
        <v>392</v>
      </c>
      <c r="Q205" s="4" t="s">
        <v>54</v>
      </c>
      <c r="R205" s="4" t="s">
        <v>55</v>
      </c>
      <c r="S205" s="4" t="s">
        <v>56</v>
      </c>
      <c r="T205" s="4">
        <v>6</v>
      </c>
      <c r="U205" s="4" t="s">
        <v>57</v>
      </c>
      <c r="V205" s="4">
        <v>97459</v>
      </c>
      <c r="W205" s="4" t="s">
        <v>58</v>
      </c>
      <c r="X205" s="4">
        <v>1717662512</v>
      </c>
      <c r="Y205" s="4" t="s">
        <v>71</v>
      </c>
      <c r="Z205" s="4" t="s">
        <v>55</v>
      </c>
      <c r="AA205" s="4" t="s">
        <v>116</v>
      </c>
      <c r="AB205" s="4" t="s">
        <v>61</v>
      </c>
      <c r="AC205" s="4" t="s">
        <v>73</v>
      </c>
      <c r="AD205" s="4" t="s">
        <v>62</v>
      </c>
      <c r="AE205" s="4" t="s">
        <v>55</v>
      </c>
      <c r="AF205" s="4" t="s">
        <v>55</v>
      </c>
      <c r="AG205" s="4" t="s">
        <v>494</v>
      </c>
      <c r="AH205" s="4">
        <v>0</v>
      </c>
      <c r="AI205" s="4" t="s">
        <v>312</v>
      </c>
      <c r="AJ205" s="4" t="s">
        <v>55</v>
      </c>
      <c r="AK205" s="5">
        <v>45967</v>
      </c>
      <c r="AL205" s="6">
        <v>45967</v>
      </c>
      <c r="AM205" s="6">
        <v>46081</v>
      </c>
      <c r="AN205" s="4">
        <v>3</v>
      </c>
      <c r="AO205" s="6">
        <v>47061</v>
      </c>
      <c r="AP205" s="9">
        <v>1183</v>
      </c>
      <c r="AQ205" s="9">
        <v>118.3</v>
      </c>
      <c r="AR205" s="9">
        <v>1071.18</v>
      </c>
      <c r="AS205" s="9">
        <v>111.82</v>
      </c>
      <c r="AT205" s="4" t="s">
        <v>49</v>
      </c>
    </row>
    <row r="206" spans="1:46" ht="60" x14ac:dyDescent="0.25">
      <c r="A206" s="4">
        <v>40577676</v>
      </c>
      <c r="B206" s="4" t="str">
        <f>""</f>
        <v/>
      </c>
      <c r="C206" s="4" t="str">
        <f>"700100440001"</f>
        <v>700100440001</v>
      </c>
      <c r="D206" s="4">
        <v>44</v>
      </c>
      <c r="E206" s="4" t="s">
        <v>132</v>
      </c>
      <c r="F206" s="4" t="s">
        <v>412</v>
      </c>
      <c r="G206" s="4" t="str">
        <f>"CNC9341W6T"</f>
        <v>CNC9341W6T</v>
      </c>
      <c r="H206" s="4" t="str">
        <f>"ELITEDISPLAY E243D 23,8"</f>
        <v>ELITEDISPLAY E243D 23,8</v>
      </c>
      <c r="I206" s="4" t="str">
        <f>"HP"</f>
        <v>HP</v>
      </c>
      <c r="J206" s="4"/>
      <c r="K206" s="4"/>
      <c r="L206" s="9">
        <v>297</v>
      </c>
      <c r="M206" s="4"/>
      <c r="N206" s="4" t="s">
        <v>233</v>
      </c>
      <c r="O206" s="4" t="s">
        <v>114</v>
      </c>
      <c r="P206" s="4" t="s">
        <v>428</v>
      </c>
      <c r="Q206" s="4" t="s">
        <v>54</v>
      </c>
      <c r="R206" s="4" t="s">
        <v>55</v>
      </c>
      <c r="S206" s="4" t="s">
        <v>56</v>
      </c>
      <c r="T206" s="4">
        <v>6</v>
      </c>
      <c r="U206" s="4" t="s">
        <v>57</v>
      </c>
      <c r="V206" s="4">
        <v>97459</v>
      </c>
      <c r="W206" s="4" t="s">
        <v>58</v>
      </c>
      <c r="X206" s="4">
        <v>1717662512</v>
      </c>
      <c r="Y206" s="4" t="s">
        <v>71</v>
      </c>
      <c r="Z206" s="4" t="s">
        <v>55</v>
      </c>
      <c r="AA206" s="4" t="s">
        <v>116</v>
      </c>
      <c r="AB206" s="4" t="s">
        <v>61</v>
      </c>
      <c r="AC206" s="4" t="s">
        <v>73</v>
      </c>
      <c r="AD206" s="4" t="s">
        <v>62</v>
      </c>
      <c r="AE206" s="4" t="s">
        <v>55</v>
      </c>
      <c r="AF206" s="4" t="s">
        <v>55</v>
      </c>
      <c r="AG206" s="4" t="s">
        <v>495</v>
      </c>
      <c r="AH206" s="4">
        <v>0</v>
      </c>
      <c r="AI206" s="4" t="s">
        <v>312</v>
      </c>
      <c r="AJ206" s="4" t="s">
        <v>55</v>
      </c>
      <c r="AK206" s="5">
        <v>45968</v>
      </c>
      <c r="AL206" s="6">
        <v>45968</v>
      </c>
      <c r="AM206" s="6">
        <v>46081</v>
      </c>
      <c r="AN206" s="4">
        <v>1</v>
      </c>
      <c r="AO206" s="6">
        <v>46332</v>
      </c>
      <c r="AP206" s="9">
        <v>297</v>
      </c>
      <c r="AQ206" s="9">
        <v>29.7</v>
      </c>
      <c r="AR206" s="9">
        <v>213.51</v>
      </c>
      <c r="AS206" s="9">
        <v>83.49</v>
      </c>
      <c r="AT206" s="4" t="s">
        <v>49</v>
      </c>
    </row>
    <row r="207" spans="1:46" ht="60" x14ac:dyDescent="0.25">
      <c r="A207" s="4">
        <v>40581966</v>
      </c>
      <c r="B207" s="4" t="str">
        <f>""</f>
        <v/>
      </c>
      <c r="C207" s="4" t="str">
        <f>"700100440001"</f>
        <v>700100440001</v>
      </c>
      <c r="D207" s="4">
        <v>53</v>
      </c>
      <c r="E207" s="4" t="s">
        <v>132</v>
      </c>
      <c r="F207" s="4" t="s">
        <v>412</v>
      </c>
      <c r="G207" s="4" t="str">
        <f>"CNC9341VDR"</f>
        <v>CNC9341VDR</v>
      </c>
      <c r="H207" s="4" t="str">
        <f>"ELITEDISPLAY E243d 23,8"</f>
        <v>ELITEDISPLAY E243d 23,8</v>
      </c>
      <c r="I207" s="4" t="str">
        <f>"HP"</f>
        <v>HP</v>
      </c>
      <c r="J207" s="4"/>
      <c r="K207" s="4"/>
      <c r="L207" s="9">
        <v>297</v>
      </c>
      <c r="M207" s="4"/>
      <c r="N207" s="4" t="s">
        <v>233</v>
      </c>
      <c r="O207" s="4" t="s">
        <v>255</v>
      </c>
      <c r="P207" s="4" t="s">
        <v>413</v>
      </c>
      <c r="Q207" s="4" t="s">
        <v>54</v>
      </c>
      <c r="R207" s="4" t="s">
        <v>55</v>
      </c>
      <c r="S207" s="4" t="s">
        <v>56</v>
      </c>
      <c r="T207" s="4">
        <v>6</v>
      </c>
      <c r="U207" s="4" t="s">
        <v>57</v>
      </c>
      <c r="V207" s="4">
        <v>97459</v>
      </c>
      <c r="W207" s="4" t="s">
        <v>58</v>
      </c>
      <c r="X207" s="4">
        <v>1717662512</v>
      </c>
      <c r="Y207" s="4" t="s">
        <v>71</v>
      </c>
      <c r="Z207" s="4" t="s">
        <v>55</v>
      </c>
      <c r="AA207" s="4" t="s">
        <v>116</v>
      </c>
      <c r="AB207" s="4" t="s">
        <v>61</v>
      </c>
      <c r="AC207" s="4" t="s">
        <v>73</v>
      </c>
      <c r="AD207" s="4" t="s">
        <v>62</v>
      </c>
      <c r="AE207" s="4" t="s">
        <v>55</v>
      </c>
      <c r="AF207" s="4" t="s">
        <v>55</v>
      </c>
      <c r="AG207" s="4" t="s">
        <v>496</v>
      </c>
      <c r="AH207" s="4">
        <v>0</v>
      </c>
      <c r="AI207" s="4" t="s">
        <v>312</v>
      </c>
      <c r="AJ207" s="4" t="s">
        <v>55</v>
      </c>
      <c r="AK207" s="5">
        <v>45971</v>
      </c>
      <c r="AL207" s="6">
        <v>45971</v>
      </c>
      <c r="AM207" s="6">
        <v>46081</v>
      </c>
      <c r="AN207" s="4">
        <v>3</v>
      </c>
      <c r="AO207" s="6">
        <v>47065</v>
      </c>
      <c r="AP207" s="9">
        <v>297</v>
      </c>
      <c r="AQ207" s="9">
        <v>29.7</v>
      </c>
      <c r="AR207" s="9">
        <v>269.89999999999998</v>
      </c>
      <c r="AS207" s="9">
        <v>27.1</v>
      </c>
      <c r="AT207" s="4" t="s">
        <v>49</v>
      </c>
    </row>
    <row r="208" spans="1:46" ht="60" x14ac:dyDescent="0.25">
      <c r="A208" s="4">
        <v>40581964</v>
      </c>
      <c r="B208" s="4" t="str">
        <f>""</f>
        <v/>
      </c>
      <c r="C208" s="4" t="str">
        <f>"700100440001"</f>
        <v>700100440001</v>
      </c>
      <c r="D208" s="4">
        <v>52</v>
      </c>
      <c r="E208" s="4" t="s">
        <v>132</v>
      </c>
      <c r="F208" s="4" t="s">
        <v>412</v>
      </c>
      <c r="G208" s="4" t="str">
        <f>"CNC9341VDC"</f>
        <v>CNC9341VDC</v>
      </c>
      <c r="H208" s="4" t="str">
        <f>"ELITEDISPLAY E243d 23,8"</f>
        <v>ELITEDISPLAY E243d 23,8</v>
      </c>
      <c r="I208" s="4" t="str">
        <f>"HP"</f>
        <v>HP</v>
      </c>
      <c r="J208" s="4"/>
      <c r="K208" s="4"/>
      <c r="L208" s="9">
        <v>297</v>
      </c>
      <c r="M208" s="4"/>
      <c r="N208" s="4" t="s">
        <v>233</v>
      </c>
      <c r="O208" s="4" t="s">
        <v>255</v>
      </c>
      <c r="P208" s="4" t="s">
        <v>413</v>
      </c>
      <c r="Q208" s="4" t="s">
        <v>54</v>
      </c>
      <c r="R208" s="4" t="s">
        <v>55</v>
      </c>
      <c r="S208" s="4" t="s">
        <v>56</v>
      </c>
      <c r="T208" s="4">
        <v>6</v>
      </c>
      <c r="U208" s="4" t="s">
        <v>57</v>
      </c>
      <c r="V208" s="4">
        <v>97459</v>
      </c>
      <c r="W208" s="4" t="s">
        <v>58</v>
      </c>
      <c r="X208" s="4">
        <v>1717662512</v>
      </c>
      <c r="Y208" s="4" t="s">
        <v>71</v>
      </c>
      <c r="Z208" s="4" t="s">
        <v>55</v>
      </c>
      <c r="AA208" s="4" t="s">
        <v>116</v>
      </c>
      <c r="AB208" s="4" t="s">
        <v>61</v>
      </c>
      <c r="AC208" s="4" t="s">
        <v>73</v>
      </c>
      <c r="AD208" s="4" t="s">
        <v>62</v>
      </c>
      <c r="AE208" s="4" t="s">
        <v>55</v>
      </c>
      <c r="AF208" s="4" t="s">
        <v>55</v>
      </c>
      <c r="AG208" s="4" t="s">
        <v>497</v>
      </c>
      <c r="AH208" s="4">
        <v>0</v>
      </c>
      <c r="AI208" s="4" t="s">
        <v>312</v>
      </c>
      <c r="AJ208" s="4" t="s">
        <v>55</v>
      </c>
      <c r="AK208" s="5">
        <v>45971</v>
      </c>
      <c r="AL208" s="6">
        <v>45971</v>
      </c>
      <c r="AM208" s="6">
        <v>46081</v>
      </c>
      <c r="AN208" s="4">
        <v>3</v>
      </c>
      <c r="AO208" s="6">
        <v>47065</v>
      </c>
      <c r="AP208" s="9">
        <v>297</v>
      </c>
      <c r="AQ208" s="9">
        <v>29.7</v>
      </c>
      <c r="AR208" s="9">
        <v>269.89999999999998</v>
      </c>
      <c r="AS208" s="9">
        <v>27.1</v>
      </c>
      <c r="AT208" s="4" t="s">
        <v>49</v>
      </c>
    </row>
    <row r="209" spans="1:46" ht="60" x14ac:dyDescent="0.25">
      <c r="A209" s="4">
        <v>40582136</v>
      </c>
      <c r="B209" s="4" t="str">
        <f>""</f>
        <v/>
      </c>
      <c r="C209" s="4" t="str">
        <f>"700100440001"</f>
        <v>700100440001</v>
      </c>
      <c r="D209" s="4">
        <v>56</v>
      </c>
      <c r="E209" s="4" t="s">
        <v>132</v>
      </c>
      <c r="F209" s="4" t="s">
        <v>412</v>
      </c>
      <c r="G209" s="4" t="str">
        <f>"CNC9192T80"</f>
        <v>CNC9192T80</v>
      </c>
      <c r="H209" s="4" t="str">
        <f>"ELITEDISPLAY E243d 23,8"</f>
        <v>ELITEDISPLAY E243d 23,8</v>
      </c>
      <c r="I209" s="4" t="str">
        <f>"HP"</f>
        <v>HP</v>
      </c>
      <c r="J209" s="4"/>
      <c r="K209" s="4"/>
      <c r="L209" s="9">
        <v>298</v>
      </c>
      <c r="M209" s="4"/>
      <c r="N209" s="4" t="s">
        <v>233</v>
      </c>
      <c r="O209" s="4" t="s">
        <v>255</v>
      </c>
      <c r="P209" s="4" t="s">
        <v>413</v>
      </c>
      <c r="Q209" s="4" t="s">
        <v>54</v>
      </c>
      <c r="R209" s="4" t="s">
        <v>55</v>
      </c>
      <c r="S209" s="4" t="s">
        <v>56</v>
      </c>
      <c r="T209" s="4">
        <v>6</v>
      </c>
      <c r="U209" s="4" t="s">
        <v>57</v>
      </c>
      <c r="V209" s="4">
        <v>97459</v>
      </c>
      <c r="W209" s="4" t="s">
        <v>58</v>
      </c>
      <c r="X209" s="4">
        <v>1717662512</v>
      </c>
      <c r="Y209" s="4" t="s">
        <v>71</v>
      </c>
      <c r="Z209" s="4" t="s">
        <v>55</v>
      </c>
      <c r="AA209" s="4" t="s">
        <v>116</v>
      </c>
      <c r="AB209" s="4" t="s">
        <v>61</v>
      </c>
      <c r="AC209" s="4" t="s">
        <v>73</v>
      </c>
      <c r="AD209" s="4" t="s">
        <v>62</v>
      </c>
      <c r="AE209" s="4" t="s">
        <v>55</v>
      </c>
      <c r="AF209" s="4" t="s">
        <v>55</v>
      </c>
      <c r="AG209" s="4" t="s">
        <v>498</v>
      </c>
      <c r="AH209" s="4">
        <v>0</v>
      </c>
      <c r="AI209" s="4" t="s">
        <v>312</v>
      </c>
      <c r="AJ209" s="4" t="s">
        <v>55</v>
      </c>
      <c r="AK209" s="5">
        <v>45971</v>
      </c>
      <c r="AL209" s="6">
        <v>45971</v>
      </c>
      <c r="AM209" s="6">
        <v>46081</v>
      </c>
      <c r="AN209" s="4">
        <v>3</v>
      </c>
      <c r="AO209" s="6">
        <v>47065</v>
      </c>
      <c r="AP209" s="9">
        <v>298</v>
      </c>
      <c r="AQ209" s="9">
        <v>29.8</v>
      </c>
      <c r="AR209" s="9">
        <v>270.81</v>
      </c>
      <c r="AS209" s="9">
        <v>27.19</v>
      </c>
      <c r="AT209" s="4" t="s">
        <v>49</v>
      </c>
    </row>
    <row r="210" spans="1:46" ht="75" x14ac:dyDescent="0.25">
      <c r="A210" s="4">
        <v>40631039</v>
      </c>
      <c r="B210" s="4" t="str">
        <f>""</f>
        <v/>
      </c>
      <c r="C210" s="4" t="str">
        <f>"700100070001"</f>
        <v>700100070001</v>
      </c>
      <c r="D210" s="4">
        <v>115</v>
      </c>
      <c r="E210" s="4" t="s">
        <v>132</v>
      </c>
      <c r="F210" s="4" t="s">
        <v>316</v>
      </c>
      <c r="G210" s="4" t="str">
        <f>"B5D4CS3"</f>
        <v>B5D4CS3</v>
      </c>
      <c r="H210" s="4" t="str">
        <f>"LATITUDE 3520"</f>
        <v>LATITUDE 3520</v>
      </c>
      <c r="I210" s="4" t="str">
        <f>"DELL"</f>
        <v>DELL</v>
      </c>
      <c r="J210" s="4"/>
      <c r="K210" s="4"/>
      <c r="L210" s="9">
        <v>1135</v>
      </c>
      <c r="M210" s="4"/>
      <c r="N210" s="4" t="s">
        <v>113</v>
      </c>
      <c r="O210" s="4" t="s">
        <v>114</v>
      </c>
      <c r="P210" s="4" t="s">
        <v>423</v>
      </c>
      <c r="Q210" s="4" t="s">
        <v>54</v>
      </c>
      <c r="R210" s="4" t="s">
        <v>55</v>
      </c>
      <c r="S210" s="4" t="s">
        <v>56</v>
      </c>
      <c r="T210" s="4">
        <v>6</v>
      </c>
      <c r="U210" s="4" t="s">
        <v>57</v>
      </c>
      <c r="V210" s="4">
        <v>97459</v>
      </c>
      <c r="W210" s="4" t="s">
        <v>58</v>
      </c>
      <c r="X210" s="4">
        <v>1717662512</v>
      </c>
      <c r="Y210" s="4" t="s">
        <v>71</v>
      </c>
      <c r="Z210" s="4" t="s">
        <v>55</v>
      </c>
      <c r="AA210" s="4" t="s">
        <v>116</v>
      </c>
      <c r="AB210" s="4" t="s">
        <v>61</v>
      </c>
      <c r="AC210" s="4" t="s">
        <v>73</v>
      </c>
      <c r="AD210" s="4" t="s">
        <v>62</v>
      </c>
      <c r="AE210" s="4" t="s">
        <v>55</v>
      </c>
      <c r="AF210" s="4" t="s">
        <v>55</v>
      </c>
      <c r="AG210" s="4" t="s">
        <v>499</v>
      </c>
      <c r="AH210" s="4">
        <v>0</v>
      </c>
      <c r="AI210" s="4" t="s">
        <v>312</v>
      </c>
      <c r="AJ210" s="4" t="s">
        <v>55</v>
      </c>
      <c r="AK210" s="5">
        <v>45985</v>
      </c>
      <c r="AL210" s="6">
        <v>45985</v>
      </c>
      <c r="AM210" s="6">
        <v>46081</v>
      </c>
      <c r="AN210" s="4">
        <v>3</v>
      </c>
      <c r="AO210" s="6">
        <v>47079</v>
      </c>
      <c r="AP210" s="9">
        <v>1225</v>
      </c>
      <c r="AQ210" s="9">
        <v>122.5</v>
      </c>
      <c r="AR210" s="9">
        <v>1127.3399999999999</v>
      </c>
      <c r="AS210" s="9">
        <v>97.66</v>
      </c>
      <c r="AT210" s="4" t="s">
        <v>49</v>
      </c>
    </row>
    <row r="211" spans="1:46" ht="75" x14ac:dyDescent="0.25">
      <c r="A211" s="4">
        <v>40631245</v>
      </c>
      <c r="B211" s="4" t="str">
        <f>""</f>
        <v/>
      </c>
      <c r="C211" s="4" t="str">
        <f>"700100070001"</f>
        <v>700100070001</v>
      </c>
      <c r="D211" s="4">
        <v>120</v>
      </c>
      <c r="E211" s="4" t="s">
        <v>132</v>
      </c>
      <c r="F211" s="4" t="s">
        <v>316</v>
      </c>
      <c r="G211" s="4" t="str">
        <f>"D66ZGS3"</f>
        <v>D66ZGS3</v>
      </c>
      <c r="H211" s="4" t="str">
        <f>"LATITUDE 3520"</f>
        <v>LATITUDE 3520</v>
      </c>
      <c r="I211" s="4" t="str">
        <f>"DELL"</f>
        <v>DELL</v>
      </c>
      <c r="J211" s="4"/>
      <c r="K211" s="4"/>
      <c r="L211" s="9">
        <v>1135</v>
      </c>
      <c r="M211" s="4"/>
      <c r="N211" s="4" t="s">
        <v>113</v>
      </c>
      <c r="O211" s="4" t="s">
        <v>114</v>
      </c>
      <c r="P211" s="4" t="s">
        <v>423</v>
      </c>
      <c r="Q211" s="4" t="s">
        <v>54</v>
      </c>
      <c r="R211" s="4" t="s">
        <v>55</v>
      </c>
      <c r="S211" s="4" t="s">
        <v>56</v>
      </c>
      <c r="T211" s="4">
        <v>6</v>
      </c>
      <c r="U211" s="4" t="s">
        <v>57</v>
      </c>
      <c r="V211" s="4">
        <v>97459</v>
      </c>
      <c r="W211" s="4" t="s">
        <v>58</v>
      </c>
      <c r="X211" s="4">
        <v>1717662512</v>
      </c>
      <c r="Y211" s="4" t="s">
        <v>71</v>
      </c>
      <c r="Z211" s="4" t="s">
        <v>55</v>
      </c>
      <c r="AA211" s="4" t="s">
        <v>116</v>
      </c>
      <c r="AB211" s="4" t="s">
        <v>61</v>
      </c>
      <c r="AC211" s="4" t="s">
        <v>73</v>
      </c>
      <c r="AD211" s="4" t="s">
        <v>62</v>
      </c>
      <c r="AE211" s="4" t="s">
        <v>55</v>
      </c>
      <c r="AF211" s="4" t="s">
        <v>55</v>
      </c>
      <c r="AG211" s="4" t="s">
        <v>500</v>
      </c>
      <c r="AH211" s="4">
        <v>0</v>
      </c>
      <c r="AI211" s="4" t="s">
        <v>312</v>
      </c>
      <c r="AJ211" s="4" t="s">
        <v>55</v>
      </c>
      <c r="AK211" s="5">
        <v>45985</v>
      </c>
      <c r="AL211" s="6">
        <v>45985</v>
      </c>
      <c r="AM211" s="6">
        <v>46081</v>
      </c>
      <c r="AN211" s="4">
        <v>3</v>
      </c>
      <c r="AO211" s="6">
        <v>47079</v>
      </c>
      <c r="AP211" s="9">
        <v>1225</v>
      </c>
      <c r="AQ211" s="9">
        <v>122.5</v>
      </c>
      <c r="AR211" s="9">
        <v>1127.3399999999999</v>
      </c>
      <c r="AS211" s="9">
        <v>97.66</v>
      </c>
      <c r="AT211" s="4" t="s">
        <v>49</v>
      </c>
    </row>
    <row r="212" spans="1:46" ht="75" x14ac:dyDescent="0.25">
      <c r="A212" s="4">
        <v>40631276</v>
      </c>
      <c r="B212" s="4" t="str">
        <f>""</f>
        <v/>
      </c>
      <c r="C212" s="4" t="str">
        <f>"700100070001"</f>
        <v>700100070001</v>
      </c>
      <c r="D212" s="4">
        <v>122</v>
      </c>
      <c r="E212" s="4" t="s">
        <v>132</v>
      </c>
      <c r="F212" s="4" t="s">
        <v>316</v>
      </c>
      <c r="G212" s="4" t="str">
        <f>"5TD4CS3"</f>
        <v>5TD4CS3</v>
      </c>
      <c r="H212" s="4" t="str">
        <f>"LATITUDE 3520"</f>
        <v>LATITUDE 3520</v>
      </c>
      <c r="I212" s="4" t="str">
        <f>"DELL"</f>
        <v>DELL</v>
      </c>
      <c r="J212" s="4"/>
      <c r="K212" s="4"/>
      <c r="L212" s="9">
        <v>1135</v>
      </c>
      <c r="M212" s="4"/>
      <c r="N212" s="4" t="s">
        <v>113</v>
      </c>
      <c r="O212" s="4" t="s">
        <v>114</v>
      </c>
      <c r="P212" s="4" t="s">
        <v>423</v>
      </c>
      <c r="Q212" s="4" t="s">
        <v>54</v>
      </c>
      <c r="R212" s="4" t="s">
        <v>55</v>
      </c>
      <c r="S212" s="4" t="s">
        <v>56</v>
      </c>
      <c r="T212" s="4">
        <v>6</v>
      </c>
      <c r="U212" s="4" t="s">
        <v>57</v>
      </c>
      <c r="V212" s="4">
        <v>97459</v>
      </c>
      <c r="W212" s="4" t="s">
        <v>58</v>
      </c>
      <c r="X212" s="4">
        <v>1717662512</v>
      </c>
      <c r="Y212" s="4" t="s">
        <v>71</v>
      </c>
      <c r="Z212" s="4" t="s">
        <v>55</v>
      </c>
      <c r="AA212" s="4" t="s">
        <v>116</v>
      </c>
      <c r="AB212" s="4" t="s">
        <v>61</v>
      </c>
      <c r="AC212" s="4" t="s">
        <v>73</v>
      </c>
      <c r="AD212" s="4" t="s">
        <v>62</v>
      </c>
      <c r="AE212" s="4" t="s">
        <v>55</v>
      </c>
      <c r="AF212" s="4" t="s">
        <v>55</v>
      </c>
      <c r="AG212" s="4" t="s">
        <v>501</v>
      </c>
      <c r="AH212" s="4">
        <v>0</v>
      </c>
      <c r="AI212" s="4" t="s">
        <v>312</v>
      </c>
      <c r="AJ212" s="4" t="s">
        <v>55</v>
      </c>
      <c r="AK212" s="5">
        <v>45985</v>
      </c>
      <c r="AL212" s="6">
        <v>45985</v>
      </c>
      <c r="AM212" s="6">
        <v>46081</v>
      </c>
      <c r="AN212" s="4">
        <v>3</v>
      </c>
      <c r="AO212" s="6">
        <v>47079</v>
      </c>
      <c r="AP212" s="9">
        <v>1225</v>
      </c>
      <c r="AQ212" s="9">
        <v>122.5</v>
      </c>
      <c r="AR212" s="9">
        <v>1127.3399999999999</v>
      </c>
      <c r="AS212" s="9">
        <v>97.66</v>
      </c>
      <c r="AT212" s="4" t="s">
        <v>49</v>
      </c>
    </row>
    <row r="213" spans="1:46" ht="60" x14ac:dyDescent="0.25">
      <c r="A213" s="4">
        <v>40588423</v>
      </c>
      <c r="B213" s="4" t="str">
        <f>""</f>
        <v/>
      </c>
      <c r="C213" s="4" t="str">
        <f>"700100960001"</f>
        <v>700100960001</v>
      </c>
      <c r="D213" s="4">
        <v>79</v>
      </c>
      <c r="E213" s="4" t="s">
        <v>132</v>
      </c>
      <c r="F213" s="4" t="s">
        <v>404</v>
      </c>
      <c r="G213" s="4" t="str">
        <f>"28K11E"</f>
        <v>28K11E</v>
      </c>
      <c r="H213" s="4" t="str">
        <f>"BLACKWIRE 3220-C3220 USB-A"</f>
        <v>BLACKWIRE 3220-C3220 USB-A</v>
      </c>
      <c r="I213" s="4" t="str">
        <f>"PLANTRONICS"</f>
        <v>PLANTRONICS</v>
      </c>
      <c r="J213" s="4"/>
      <c r="K213" s="4"/>
      <c r="L213" s="9">
        <v>39.47</v>
      </c>
      <c r="M213" s="4"/>
      <c r="N213" s="4" t="s">
        <v>406</v>
      </c>
      <c r="O213" s="4" t="s">
        <v>255</v>
      </c>
      <c r="P213" s="4" t="s">
        <v>407</v>
      </c>
      <c r="Q213" s="4" t="s">
        <v>54</v>
      </c>
      <c r="R213" s="4" t="s">
        <v>55</v>
      </c>
      <c r="S213" s="4" t="s">
        <v>56</v>
      </c>
      <c r="T213" s="4">
        <v>6</v>
      </c>
      <c r="U213" s="4" t="s">
        <v>57</v>
      </c>
      <c r="V213" s="4">
        <v>97459</v>
      </c>
      <c r="W213" s="4" t="s">
        <v>58</v>
      </c>
      <c r="X213" s="4">
        <v>1717662512</v>
      </c>
      <c r="Y213" s="4" t="s">
        <v>71</v>
      </c>
      <c r="Z213" s="4" t="s">
        <v>55</v>
      </c>
      <c r="AA213" s="4" t="s">
        <v>116</v>
      </c>
      <c r="AB213" s="4" t="s">
        <v>61</v>
      </c>
      <c r="AC213" s="4" t="s">
        <v>73</v>
      </c>
      <c r="AD213" s="4" t="s">
        <v>62</v>
      </c>
      <c r="AE213" s="4" t="s">
        <v>55</v>
      </c>
      <c r="AF213" s="4" t="s">
        <v>55</v>
      </c>
      <c r="AG213" s="4" t="s">
        <v>502</v>
      </c>
      <c r="AH213" s="4">
        <v>0</v>
      </c>
      <c r="AI213" s="4" t="s">
        <v>312</v>
      </c>
      <c r="AJ213" s="4" t="s">
        <v>55</v>
      </c>
      <c r="AK213" s="5">
        <v>45973</v>
      </c>
      <c r="AL213" s="6">
        <v>45973</v>
      </c>
      <c r="AM213" s="6">
        <v>46081</v>
      </c>
      <c r="AN213" s="4">
        <v>3</v>
      </c>
      <c r="AO213" s="6">
        <v>47067</v>
      </c>
      <c r="AP213" s="9">
        <v>39.47</v>
      </c>
      <c r="AQ213" s="9">
        <v>3.95</v>
      </c>
      <c r="AR213" s="9">
        <v>35.93</v>
      </c>
      <c r="AS213" s="9">
        <v>3.54</v>
      </c>
      <c r="AT213" s="4" t="s">
        <v>49</v>
      </c>
    </row>
    <row r="214" spans="1:46" ht="60" x14ac:dyDescent="0.25">
      <c r="A214" s="4">
        <v>40586226</v>
      </c>
      <c r="B214" s="4" t="str">
        <f>""</f>
        <v/>
      </c>
      <c r="C214" s="4" t="str">
        <f>"700100960001"</f>
        <v>700100960001</v>
      </c>
      <c r="D214" s="4">
        <v>73</v>
      </c>
      <c r="E214" s="4" t="s">
        <v>132</v>
      </c>
      <c r="F214" s="4" t="s">
        <v>404</v>
      </c>
      <c r="G214" s="4" t="str">
        <f>"2XAL1E"</f>
        <v>2XAL1E</v>
      </c>
      <c r="H214" s="4" t="str">
        <f>"BLACKWIRE 3220-C3220 USB-A"</f>
        <v>BLACKWIRE 3220-C3220 USB-A</v>
      </c>
      <c r="I214" s="4" t="str">
        <f>"PLANTRONICS"</f>
        <v>PLANTRONICS</v>
      </c>
      <c r="J214" s="4"/>
      <c r="K214" s="4"/>
      <c r="L214" s="9">
        <v>45.4</v>
      </c>
      <c r="M214" s="4"/>
      <c r="N214" s="4" t="s">
        <v>406</v>
      </c>
      <c r="O214" s="4" t="s">
        <v>255</v>
      </c>
      <c r="P214" s="4" t="s">
        <v>407</v>
      </c>
      <c r="Q214" s="4" t="s">
        <v>54</v>
      </c>
      <c r="R214" s="4" t="s">
        <v>55</v>
      </c>
      <c r="S214" s="4" t="s">
        <v>56</v>
      </c>
      <c r="T214" s="4">
        <v>6</v>
      </c>
      <c r="U214" s="4" t="s">
        <v>57</v>
      </c>
      <c r="V214" s="4">
        <v>97459</v>
      </c>
      <c r="W214" s="4" t="s">
        <v>58</v>
      </c>
      <c r="X214" s="4">
        <v>1717662512</v>
      </c>
      <c r="Y214" s="4" t="s">
        <v>71</v>
      </c>
      <c r="Z214" s="4" t="s">
        <v>55</v>
      </c>
      <c r="AA214" s="4" t="s">
        <v>116</v>
      </c>
      <c r="AB214" s="4" t="s">
        <v>61</v>
      </c>
      <c r="AC214" s="4" t="s">
        <v>73</v>
      </c>
      <c r="AD214" s="4" t="s">
        <v>62</v>
      </c>
      <c r="AE214" s="4" t="s">
        <v>55</v>
      </c>
      <c r="AF214" s="4" t="s">
        <v>55</v>
      </c>
      <c r="AG214" s="4" t="s">
        <v>503</v>
      </c>
      <c r="AH214" s="4">
        <v>0</v>
      </c>
      <c r="AI214" s="4" t="s">
        <v>312</v>
      </c>
      <c r="AJ214" s="4" t="s">
        <v>55</v>
      </c>
      <c r="AK214" s="5">
        <v>45972</v>
      </c>
      <c r="AL214" s="6">
        <v>45972</v>
      </c>
      <c r="AM214" s="6">
        <v>46081</v>
      </c>
      <c r="AN214" s="4">
        <v>3</v>
      </c>
      <c r="AO214" s="6">
        <v>47066</v>
      </c>
      <c r="AP214" s="9">
        <v>45.4</v>
      </c>
      <c r="AQ214" s="9">
        <v>4.54</v>
      </c>
      <c r="AR214" s="9">
        <v>41.3</v>
      </c>
      <c r="AS214" s="9">
        <v>4.0999999999999996</v>
      </c>
      <c r="AT214" s="4" t="s">
        <v>49</v>
      </c>
    </row>
    <row r="215" spans="1:46" ht="60" x14ac:dyDescent="0.25">
      <c r="A215" s="4">
        <v>40577683</v>
      </c>
      <c r="B215" s="4" t="str">
        <f>""</f>
        <v/>
      </c>
      <c r="C215" s="4" t="str">
        <f>"700100440001"</f>
        <v>700100440001</v>
      </c>
      <c r="D215" s="4">
        <v>46</v>
      </c>
      <c r="E215" s="4" t="s">
        <v>132</v>
      </c>
      <c r="F215" s="4" t="s">
        <v>412</v>
      </c>
      <c r="G215" s="4" t="str">
        <f>"CNC9192T95"</f>
        <v>CNC9192T95</v>
      </c>
      <c r="H215" s="4" t="str">
        <f>"ELITEDISPLAY E243D 23,8"</f>
        <v>ELITEDISPLAY E243D 23,8</v>
      </c>
      <c r="I215" s="4" t="str">
        <f>"HP"</f>
        <v>HP</v>
      </c>
      <c r="J215" s="4"/>
      <c r="K215" s="4"/>
      <c r="L215" s="9">
        <v>298</v>
      </c>
      <c r="M215" s="4"/>
      <c r="N215" s="4" t="s">
        <v>233</v>
      </c>
      <c r="O215" s="4" t="s">
        <v>114</v>
      </c>
      <c r="P215" s="4" t="s">
        <v>428</v>
      </c>
      <c r="Q215" s="4" t="s">
        <v>54</v>
      </c>
      <c r="R215" s="4" t="s">
        <v>55</v>
      </c>
      <c r="S215" s="4" t="s">
        <v>56</v>
      </c>
      <c r="T215" s="4">
        <v>6</v>
      </c>
      <c r="U215" s="4" t="s">
        <v>57</v>
      </c>
      <c r="V215" s="4">
        <v>97459</v>
      </c>
      <c r="W215" s="4" t="s">
        <v>58</v>
      </c>
      <c r="X215" s="4">
        <v>1717662512</v>
      </c>
      <c r="Y215" s="4" t="s">
        <v>71</v>
      </c>
      <c r="Z215" s="4" t="s">
        <v>55</v>
      </c>
      <c r="AA215" s="4" t="s">
        <v>116</v>
      </c>
      <c r="AB215" s="4" t="s">
        <v>61</v>
      </c>
      <c r="AC215" s="4" t="s">
        <v>73</v>
      </c>
      <c r="AD215" s="4" t="s">
        <v>62</v>
      </c>
      <c r="AE215" s="4" t="s">
        <v>55</v>
      </c>
      <c r="AF215" s="4" t="s">
        <v>55</v>
      </c>
      <c r="AG215" s="4" t="s">
        <v>504</v>
      </c>
      <c r="AH215" s="4">
        <v>0</v>
      </c>
      <c r="AI215" s="4" t="s">
        <v>312</v>
      </c>
      <c r="AJ215" s="4" t="s">
        <v>55</v>
      </c>
      <c r="AK215" s="5">
        <v>45968</v>
      </c>
      <c r="AL215" s="6">
        <v>45968</v>
      </c>
      <c r="AM215" s="6">
        <v>46081</v>
      </c>
      <c r="AN215" s="4">
        <v>1</v>
      </c>
      <c r="AO215" s="6">
        <v>46332</v>
      </c>
      <c r="AP215" s="9">
        <v>298</v>
      </c>
      <c r="AQ215" s="9">
        <v>29.8</v>
      </c>
      <c r="AR215" s="9">
        <v>214.24</v>
      </c>
      <c r="AS215" s="9">
        <v>83.76</v>
      </c>
      <c r="AT215" s="4" t="s">
        <v>49</v>
      </c>
    </row>
    <row r="216" spans="1:46" ht="60" x14ac:dyDescent="0.25">
      <c r="A216" s="4">
        <v>40569086</v>
      </c>
      <c r="B216" s="4" t="str">
        <f>""</f>
        <v/>
      </c>
      <c r="C216" s="4" t="str">
        <f>"700100070001"</f>
        <v>700100070001</v>
      </c>
      <c r="D216" s="4">
        <v>35</v>
      </c>
      <c r="E216" s="4" t="s">
        <v>132</v>
      </c>
      <c r="F216" s="4" t="s">
        <v>316</v>
      </c>
      <c r="G216" s="4" t="str">
        <f>"SPC1EWQWA"</f>
        <v>SPC1EWQWA</v>
      </c>
      <c r="H216" s="4" t="str">
        <f>"THINKPAD T490"</f>
        <v>THINKPAD T490</v>
      </c>
      <c r="I216" s="4" t="str">
        <f>"LENOVO"</f>
        <v>LENOVO</v>
      </c>
      <c r="J216" s="4"/>
      <c r="K216" s="4"/>
      <c r="L216" s="9">
        <v>1183</v>
      </c>
      <c r="M216" s="4"/>
      <c r="N216" s="4" t="s">
        <v>113</v>
      </c>
      <c r="O216" s="4" t="s">
        <v>255</v>
      </c>
      <c r="P216" s="4" t="s">
        <v>392</v>
      </c>
      <c r="Q216" s="4" t="s">
        <v>54</v>
      </c>
      <c r="R216" s="4" t="s">
        <v>55</v>
      </c>
      <c r="S216" s="4" t="s">
        <v>56</v>
      </c>
      <c r="T216" s="4">
        <v>6</v>
      </c>
      <c r="U216" s="4" t="s">
        <v>57</v>
      </c>
      <c r="V216" s="4">
        <v>97459</v>
      </c>
      <c r="W216" s="4" t="s">
        <v>58</v>
      </c>
      <c r="X216" s="4">
        <v>1717662512</v>
      </c>
      <c r="Y216" s="4" t="s">
        <v>71</v>
      </c>
      <c r="Z216" s="4" t="s">
        <v>55</v>
      </c>
      <c r="AA216" s="4" t="s">
        <v>116</v>
      </c>
      <c r="AB216" s="4" t="s">
        <v>61</v>
      </c>
      <c r="AC216" s="4" t="s">
        <v>73</v>
      </c>
      <c r="AD216" s="4" t="s">
        <v>62</v>
      </c>
      <c r="AE216" s="4" t="s">
        <v>55</v>
      </c>
      <c r="AF216" s="4" t="s">
        <v>55</v>
      </c>
      <c r="AG216" s="4" t="s">
        <v>505</v>
      </c>
      <c r="AH216" s="4">
        <v>0</v>
      </c>
      <c r="AI216" s="4" t="s">
        <v>312</v>
      </c>
      <c r="AJ216" s="4" t="s">
        <v>55</v>
      </c>
      <c r="AK216" s="5">
        <v>45968</v>
      </c>
      <c r="AL216" s="6">
        <v>45968</v>
      </c>
      <c r="AM216" s="6">
        <v>46081</v>
      </c>
      <c r="AN216" s="4">
        <v>3</v>
      </c>
      <c r="AO216" s="6">
        <v>47062</v>
      </c>
      <c r="AP216" s="9">
        <v>1183</v>
      </c>
      <c r="AQ216" s="9">
        <v>118.3</v>
      </c>
      <c r="AR216" s="9">
        <v>1072.1500000000001</v>
      </c>
      <c r="AS216" s="9">
        <v>110.85</v>
      </c>
      <c r="AT216" s="4" t="s">
        <v>49</v>
      </c>
    </row>
    <row r="217" spans="1:46" ht="60" x14ac:dyDescent="0.25">
      <c r="A217" s="4">
        <v>40581335</v>
      </c>
      <c r="B217" s="4" t="str">
        <f>""</f>
        <v/>
      </c>
      <c r="C217" s="4" t="str">
        <f>"700100440001"</f>
        <v>700100440001</v>
      </c>
      <c r="D217" s="4">
        <v>51</v>
      </c>
      <c r="E217" s="4" t="s">
        <v>132</v>
      </c>
      <c r="F217" s="4" t="s">
        <v>412</v>
      </c>
      <c r="G217" s="4" t="str">
        <f>"CNC9341VDG"</f>
        <v>CNC9341VDG</v>
      </c>
      <c r="H217" s="4" t="str">
        <f>"ELITEDISPLAY E243D 23,8"</f>
        <v>ELITEDISPLAY E243D 23,8</v>
      </c>
      <c r="I217" s="4" t="str">
        <f>"HP"</f>
        <v>HP</v>
      </c>
      <c r="J217" s="4"/>
      <c r="K217" s="4"/>
      <c r="L217" s="9">
        <v>297</v>
      </c>
      <c r="M217" s="4"/>
      <c r="N217" s="4" t="s">
        <v>233</v>
      </c>
      <c r="O217" s="4" t="s">
        <v>255</v>
      </c>
      <c r="P217" s="4" t="s">
        <v>428</v>
      </c>
      <c r="Q217" s="4" t="s">
        <v>54</v>
      </c>
      <c r="R217" s="4" t="s">
        <v>55</v>
      </c>
      <c r="S217" s="4" t="s">
        <v>56</v>
      </c>
      <c r="T217" s="4">
        <v>6</v>
      </c>
      <c r="U217" s="4" t="s">
        <v>57</v>
      </c>
      <c r="V217" s="4">
        <v>97459</v>
      </c>
      <c r="W217" s="4" t="s">
        <v>58</v>
      </c>
      <c r="X217" s="4">
        <v>1717662512</v>
      </c>
      <c r="Y217" s="4" t="s">
        <v>71</v>
      </c>
      <c r="Z217" s="4" t="s">
        <v>55</v>
      </c>
      <c r="AA217" s="4" t="s">
        <v>116</v>
      </c>
      <c r="AB217" s="4" t="s">
        <v>61</v>
      </c>
      <c r="AC217" s="4" t="s">
        <v>73</v>
      </c>
      <c r="AD217" s="4" t="s">
        <v>62</v>
      </c>
      <c r="AE217" s="4" t="s">
        <v>55</v>
      </c>
      <c r="AF217" s="4" t="s">
        <v>55</v>
      </c>
      <c r="AG217" s="4" t="s">
        <v>506</v>
      </c>
      <c r="AH217" s="4">
        <v>0</v>
      </c>
      <c r="AI217" s="4" t="s">
        <v>312</v>
      </c>
      <c r="AJ217" s="4" t="s">
        <v>55</v>
      </c>
      <c r="AK217" s="5">
        <v>45971</v>
      </c>
      <c r="AL217" s="6">
        <v>45971</v>
      </c>
      <c r="AM217" s="6">
        <v>46081</v>
      </c>
      <c r="AN217" s="4">
        <v>3</v>
      </c>
      <c r="AO217" s="6">
        <v>47065</v>
      </c>
      <c r="AP217" s="9">
        <v>297</v>
      </c>
      <c r="AQ217" s="9">
        <v>29.7</v>
      </c>
      <c r="AR217" s="9">
        <v>269.89999999999998</v>
      </c>
      <c r="AS217" s="9">
        <v>27.1</v>
      </c>
      <c r="AT217" s="4" t="s">
        <v>49</v>
      </c>
    </row>
    <row r="218" spans="1:46" ht="60" x14ac:dyDescent="0.25">
      <c r="A218" s="4">
        <v>40570776</v>
      </c>
      <c r="B218" s="4" t="str">
        <f>""</f>
        <v/>
      </c>
      <c r="C218" s="4" t="str">
        <f>"700100070001"</f>
        <v>700100070001</v>
      </c>
      <c r="D218" s="4">
        <v>36</v>
      </c>
      <c r="E218" s="4" t="s">
        <v>132</v>
      </c>
      <c r="F218" s="4" t="s">
        <v>316</v>
      </c>
      <c r="G218" s="4" t="str">
        <f>"PC1FST1V"</f>
        <v>PC1FST1V</v>
      </c>
      <c r="H218" s="4" t="str">
        <f>"THINKPAD T490"</f>
        <v>THINKPAD T490</v>
      </c>
      <c r="I218" s="4" t="str">
        <f>"LENOVO"</f>
        <v>LENOVO</v>
      </c>
      <c r="J218" s="4"/>
      <c r="K218" s="4"/>
      <c r="L218" s="9">
        <v>1133</v>
      </c>
      <c r="M218" s="4"/>
      <c r="N218" s="4" t="s">
        <v>113</v>
      </c>
      <c r="O218" s="4" t="s">
        <v>255</v>
      </c>
      <c r="P218" s="4" t="s">
        <v>392</v>
      </c>
      <c r="Q218" s="4" t="s">
        <v>54</v>
      </c>
      <c r="R218" s="4" t="s">
        <v>55</v>
      </c>
      <c r="S218" s="4" t="s">
        <v>56</v>
      </c>
      <c r="T218" s="4">
        <v>6</v>
      </c>
      <c r="U218" s="4" t="s">
        <v>57</v>
      </c>
      <c r="V218" s="4">
        <v>97459</v>
      </c>
      <c r="W218" s="4" t="s">
        <v>58</v>
      </c>
      <c r="X218" s="4">
        <v>1717662512</v>
      </c>
      <c r="Y218" s="4" t="s">
        <v>71</v>
      </c>
      <c r="Z218" s="4" t="s">
        <v>55</v>
      </c>
      <c r="AA218" s="4" t="s">
        <v>116</v>
      </c>
      <c r="AB218" s="4" t="s">
        <v>61</v>
      </c>
      <c r="AC218" s="4" t="s">
        <v>73</v>
      </c>
      <c r="AD218" s="4" t="s">
        <v>62</v>
      </c>
      <c r="AE218" s="4" t="s">
        <v>55</v>
      </c>
      <c r="AF218" s="4" t="s">
        <v>55</v>
      </c>
      <c r="AG218" s="4" t="s">
        <v>507</v>
      </c>
      <c r="AH218" s="4">
        <v>0</v>
      </c>
      <c r="AI218" s="4" t="s">
        <v>312</v>
      </c>
      <c r="AJ218" s="4" t="s">
        <v>55</v>
      </c>
      <c r="AK218" s="5">
        <v>45968</v>
      </c>
      <c r="AL218" s="6">
        <v>45968</v>
      </c>
      <c r="AM218" s="6">
        <v>46081</v>
      </c>
      <c r="AN218" s="4">
        <v>3</v>
      </c>
      <c r="AO218" s="6">
        <v>47062</v>
      </c>
      <c r="AP218" s="9">
        <v>1133</v>
      </c>
      <c r="AQ218" s="9">
        <v>113.3</v>
      </c>
      <c r="AR218" s="9">
        <v>1026.8399999999999</v>
      </c>
      <c r="AS218" s="9">
        <v>106.16</v>
      </c>
      <c r="AT218" s="4" t="s">
        <v>49</v>
      </c>
    </row>
    <row r="219" spans="1:46" ht="60" x14ac:dyDescent="0.25">
      <c r="A219" s="4">
        <v>40582139</v>
      </c>
      <c r="B219" s="4" t="str">
        <f>""</f>
        <v/>
      </c>
      <c r="C219" s="4" t="str">
        <f>"700100440001"</f>
        <v>700100440001</v>
      </c>
      <c r="D219" s="4">
        <v>57</v>
      </c>
      <c r="E219" s="4" t="s">
        <v>132</v>
      </c>
      <c r="F219" s="4" t="s">
        <v>412</v>
      </c>
      <c r="G219" s="4" t="str">
        <f>"CNC9192TFR"</f>
        <v>CNC9192TFR</v>
      </c>
      <c r="H219" s="4" t="str">
        <f>"ELITEDISPLAY E243d 23,8"</f>
        <v>ELITEDISPLAY E243d 23,8</v>
      </c>
      <c r="I219" s="4" t="str">
        <f>"HP"</f>
        <v>HP</v>
      </c>
      <c r="J219" s="4"/>
      <c r="K219" s="4"/>
      <c r="L219" s="9">
        <v>298</v>
      </c>
      <c r="M219" s="4"/>
      <c r="N219" s="4" t="s">
        <v>233</v>
      </c>
      <c r="O219" s="4" t="s">
        <v>255</v>
      </c>
      <c r="P219" s="4" t="s">
        <v>413</v>
      </c>
      <c r="Q219" s="4" t="s">
        <v>54</v>
      </c>
      <c r="R219" s="4" t="s">
        <v>55</v>
      </c>
      <c r="S219" s="4" t="s">
        <v>56</v>
      </c>
      <c r="T219" s="4">
        <v>6</v>
      </c>
      <c r="U219" s="4" t="s">
        <v>57</v>
      </c>
      <c r="V219" s="4">
        <v>97459</v>
      </c>
      <c r="W219" s="4" t="s">
        <v>58</v>
      </c>
      <c r="X219" s="4">
        <v>1717662512</v>
      </c>
      <c r="Y219" s="4" t="s">
        <v>71</v>
      </c>
      <c r="Z219" s="4" t="s">
        <v>55</v>
      </c>
      <c r="AA219" s="4" t="s">
        <v>116</v>
      </c>
      <c r="AB219" s="4" t="s">
        <v>61</v>
      </c>
      <c r="AC219" s="4" t="s">
        <v>73</v>
      </c>
      <c r="AD219" s="4" t="s">
        <v>62</v>
      </c>
      <c r="AE219" s="4" t="s">
        <v>55</v>
      </c>
      <c r="AF219" s="4" t="s">
        <v>55</v>
      </c>
      <c r="AG219" s="4" t="s">
        <v>511</v>
      </c>
      <c r="AH219" s="4">
        <v>0</v>
      </c>
      <c r="AI219" s="4" t="s">
        <v>312</v>
      </c>
      <c r="AJ219" s="4" t="s">
        <v>55</v>
      </c>
      <c r="AK219" s="5">
        <v>45971</v>
      </c>
      <c r="AL219" s="6">
        <v>45971</v>
      </c>
      <c r="AM219" s="6">
        <v>46081</v>
      </c>
      <c r="AN219" s="4">
        <v>3</v>
      </c>
      <c r="AO219" s="6">
        <v>47065</v>
      </c>
      <c r="AP219" s="9">
        <v>298</v>
      </c>
      <c r="AQ219" s="9">
        <v>29.8</v>
      </c>
      <c r="AR219" s="9">
        <v>270.81</v>
      </c>
      <c r="AS219" s="9">
        <v>27.19</v>
      </c>
      <c r="AT219" s="4" t="s">
        <v>49</v>
      </c>
    </row>
    <row r="220" spans="1:46" ht="75" hidden="1" x14ac:dyDescent="0.25">
      <c r="A220" s="4">
        <v>40808877</v>
      </c>
      <c r="B220" s="4" t="str">
        <f>""</f>
        <v/>
      </c>
      <c r="C220" s="4" t="str">
        <f>"700100290003"</f>
        <v>700100290003</v>
      </c>
      <c r="D220" s="4">
        <v>125</v>
      </c>
      <c r="E220" s="4" t="s">
        <v>132</v>
      </c>
      <c r="F220" s="4" t="s">
        <v>364</v>
      </c>
      <c r="G220" s="4" t="str">
        <f>"CN51LJH13X"</f>
        <v>CN51LJH13X</v>
      </c>
      <c r="H220" s="4" t="str">
        <f>"HP OfficeJet Pro 9730"</f>
        <v>HP OfficeJet Pro 9730</v>
      </c>
      <c r="I220" s="4" t="str">
        <f>"Hewlett-Packard (HP)"</f>
        <v>Hewlett-Packard (HP)</v>
      </c>
      <c r="J220" s="4"/>
      <c r="K220" s="4"/>
      <c r="L220" s="9">
        <v>351.15</v>
      </c>
      <c r="M220" s="4"/>
      <c r="N220" s="4" t="s">
        <v>513</v>
      </c>
      <c r="O220" s="4" t="s">
        <v>514</v>
      </c>
      <c r="P220" s="4" t="s">
        <v>515</v>
      </c>
      <c r="Q220" s="4" t="s">
        <v>54</v>
      </c>
      <c r="R220" s="4" t="s">
        <v>55</v>
      </c>
      <c r="S220" s="4" t="s">
        <v>56</v>
      </c>
      <c r="T220" s="4">
        <v>6</v>
      </c>
      <c r="U220" s="4" t="s">
        <v>57</v>
      </c>
      <c r="V220" s="4">
        <v>97459</v>
      </c>
      <c r="W220" s="4" t="s">
        <v>58</v>
      </c>
      <c r="X220" s="4">
        <v>401265012</v>
      </c>
      <c r="Y220" s="4" t="s">
        <v>130</v>
      </c>
      <c r="Z220" s="4" t="s">
        <v>55</v>
      </c>
      <c r="AA220" s="4" t="s">
        <v>60</v>
      </c>
      <c r="AB220" s="4" t="s">
        <v>61</v>
      </c>
      <c r="AC220" s="4">
        <v>429</v>
      </c>
      <c r="AD220" s="4" t="s">
        <v>62</v>
      </c>
      <c r="AE220" s="4" t="s">
        <v>55</v>
      </c>
      <c r="AF220" s="4" t="s">
        <v>55</v>
      </c>
      <c r="AG220" s="4" t="s">
        <v>516</v>
      </c>
      <c r="AH220" s="4">
        <v>840107</v>
      </c>
      <c r="AI220" s="4" t="s">
        <v>312</v>
      </c>
      <c r="AJ220" s="4" t="s">
        <v>55</v>
      </c>
      <c r="AK220" s="5">
        <v>45999</v>
      </c>
      <c r="AL220" s="6">
        <v>46000</v>
      </c>
      <c r="AM220" s="6">
        <v>46081</v>
      </c>
      <c r="AN220" s="4">
        <v>3</v>
      </c>
      <c r="AO220" s="6">
        <v>47094</v>
      </c>
      <c r="AP220" s="9">
        <v>351.15</v>
      </c>
      <c r="AQ220" s="9">
        <v>35.119999999999997</v>
      </c>
      <c r="AR220" s="9">
        <v>327.48</v>
      </c>
      <c r="AS220" s="9">
        <v>23.67</v>
      </c>
      <c r="AT220" s="4" t="s">
        <v>49</v>
      </c>
    </row>
    <row r="221" spans="1:46" ht="60" hidden="1" x14ac:dyDescent="0.25">
      <c r="A221" s="4">
        <v>40809812</v>
      </c>
      <c r="B221" s="4" t="str">
        <f>""</f>
        <v/>
      </c>
      <c r="C221" s="4" t="str">
        <f>"700100620001"</f>
        <v>700100620001</v>
      </c>
      <c r="D221" s="4">
        <v>126</v>
      </c>
      <c r="E221" s="4" t="s">
        <v>132</v>
      </c>
      <c r="F221" s="4" t="s">
        <v>520</v>
      </c>
      <c r="G221" s="4" t="str">
        <f>"CN584B802N"</f>
        <v>CN584B802N</v>
      </c>
      <c r="H221" s="4" t="str">
        <f>"HP SCANJET PRO 3000 S4 VELOCIDAD SIMPLE 40-49PPM"</f>
        <v>HP SCANJET PRO 3000 S4 VELOCIDAD SIMPLE 40-49PPM</v>
      </c>
      <c r="I221" s="4" t="str">
        <f>"Hewlett-Packard (HP)"</f>
        <v>Hewlett-Packard (HP)</v>
      </c>
      <c r="J221" s="4"/>
      <c r="K221" s="4"/>
      <c r="L221" s="9">
        <v>290</v>
      </c>
      <c r="M221" s="4"/>
      <c r="N221" s="4" t="s">
        <v>51</v>
      </c>
      <c r="O221" s="4" t="s">
        <v>255</v>
      </c>
      <c r="P221" s="4" t="s">
        <v>521</v>
      </c>
      <c r="Q221" s="4" t="s">
        <v>54</v>
      </c>
      <c r="R221" s="4" t="s">
        <v>55</v>
      </c>
      <c r="S221" s="4" t="s">
        <v>56</v>
      </c>
      <c r="T221" s="4">
        <v>6</v>
      </c>
      <c r="U221" s="4" t="s">
        <v>57</v>
      </c>
      <c r="V221" s="4">
        <v>97459</v>
      </c>
      <c r="W221" s="4" t="s">
        <v>58</v>
      </c>
      <c r="X221" s="4">
        <v>401265012</v>
      </c>
      <c r="Y221" s="4" t="s">
        <v>130</v>
      </c>
      <c r="Z221" s="4" t="s">
        <v>55</v>
      </c>
      <c r="AA221" s="4" t="s">
        <v>60</v>
      </c>
      <c r="AB221" s="4" t="s">
        <v>61</v>
      </c>
      <c r="AC221" s="4">
        <v>428</v>
      </c>
      <c r="AD221" s="4" t="s">
        <v>62</v>
      </c>
      <c r="AE221" s="4" t="s">
        <v>55</v>
      </c>
      <c r="AF221" s="4" t="s">
        <v>55</v>
      </c>
      <c r="AG221" s="4" t="s">
        <v>522</v>
      </c>
      <c r="AH221" s="4">
        <v>840107</v>
      </c>
      <c r="AI221" s="4" t="s">
        <v>312</v>
      </c>
      <c r="AJ221" s="4" t="s">
        <v>55</v>
      </c>
      <c r="AK221" s="5">
        <v>45999</v>
      </c>
      <c r="AL221" s="6">
        <v>46001</v>
      </c>
      <c r="AM221" s="6">
        <v>46081</v>
      </c>
      <c r="AN221" s="4">
        <v>3</v>
      </c>
      <c r="AO221" s="6">
        <v>47095</v>
      </c>
      <c r="AP221" s="9">
        <v>290</v>
      </c>
      <c r="AQ221" s="9">
        <v>29</v>
      </c>
      <c r="AR221" s="9">
        <v>270.69</v>
      </c>
      <c r="AS221" s="9">
        <v>19.309999999999999</v>
      </c>
      <c r="AT221" s="4" t="s">
        <v>49</v>
      </c>
    </row>
    <row r="222" spans="1:46" ht="75" x14ac:dyDescent="0.25">
      <c r="A222" s="4">
        <v>40614544</v>
      </c>
      <c r="B222" s="4" t="str">
        <f>""</f>
        <v/>
      </c>
      <c r="C222" s="4" t="str">
        <f t="shared" ref="C222:C239" si="18">"110101020001"</f>
        <v>110101020001</v>
      </c>
      <c r="D222" s="4">
        <v>102</v>
      </c>
      <c r="E222" s="4" t="s">
        <v>132</v>
      </c>
      <c r="F222" s="4" t="s">
        <v>525</v>
      </c>
      <c r="G222" s="4" t="str">
        <f>"2010MR364F58"</f>
        <v>2010MR364F58</v>
      </c>
      <c r="H222" s="4" t="str">
        <f t="shared" ref="H222:H239" si="19">"K235"</f>
        <v>K235</v>
      </c>
      <c r="I222" s="4" t="str">
        <f t="shared" ref="I222:I239" si="20">"LOGITECH"</f>
        <v>LOGITECH</v>
      </c>
      <c r="J222" s="4"/>
      <c r="K222" s="4"/>
      <c r="L222" s="9">
        <v>25.5</v>
      </c>
      <c r="M222" s="4"/>
      <c r="N222" s="4" t="s">
        <v>233</v>
      </c>
      <c r="O222" s="4" t="s">
        <v>255</v>
      </c>
      <c r="P222" s="4" t="s">
        <v>527</v>
      </c>
      <c r="Q222" s="4" t="s">
        <v>54</v>
      </c>
      <c r="R222" s="4" t="s">
        <v>55</v>
      </c>
      <c r="S222" s="4" t="s">
        <v>56</v>
      </c>
      <c r="T222" s="4">
        <v>6</v>
      </c>
      <c r="U222" s="4" t="s">
        <v>57</v>
      </c>
      <c r="V222" s="4">
        <v>97459</v>
      </c>
      <c r="W222" s="4" t="s">
        <v>58</v>
      </c>
      <c r="X222" s="4">
        <v>1717662512</v>
      </c>
      <c r="Y222" s="4" t="s">
        <v>71</v>
      </c>
      <c r="Z222" s="4" t="s">
        <v>55</v>
      </c>
      <c r="AA222" s="4" t="s">
        <v>116</v>
      </c>
      <c r="AB222" s="4" t="s">
        <v>61</v>
      </c>
      <c r="AC222" s="4" t="s">
        <v>73</v>
      </c>
      <c r="AD222" s="4" t="s">
        <v>62</v>
      </c>
      <c r="AE222" s="4" t="s">
        <v>55</v>
      </c>
      <c r="AF222" s="4" t="s">
        <v>55</v>
      </c>
      <c r="AG222" s="4" t="s">
        <v>528</v>
      </c>
      <c r="AH222" s="4">
        <v>0</v>
      </c>
      <c r="AI222" s="4" t="s">
        <v>529</v>
      </c>
      <c r="AJ222" s="4" t="s">
        <v>55</v>
      </c>
      <c r="AK222" s="5">
        <v>45980</v>
      </c>
      <c r="AL222" s="6">
        <v>45980</v>
      </c>
      <c r="AM222" s="6">
        <v>46081</v>
      </c>
      <c r="AN222" s="4">
        <v>1</v>
      </c>
      <c r="AO222" s="6">
        <v>46344</v>
      </c>
      <c r="AP222" s="9">
        <v>25.5</v>
      </c>
      <c r="AQ222" s="9">
        <v>2.5499999999999998</v>
      </c>
      <c r="AR222" s="9">
        <v>19.09</v>
      </c>
      <c r="AS222" s="9">
        <v>6.41</v>
      </c>
      <c r="AT222" s="4" t="s">
        <v>49</v>
      </c>
    </row>
    <row r="223" spans="1:46" ht="75" x14ac:dyDescent="0.25">
      <c r="A223" s="4">
        <v>40614812</v>
      </c>
      <c r="B223" s="4" t="str">
        <f>""</f>
        <v/>
      </c>
      <c r="C223" s="4" t="str">
        <f t="shared" si="18"/>
        <v>110101020001</v>
      </c>
      <c r="D223" s="4">
        <v>108</v>
      </c>
      <c r="E223" s="4" t="s">
        <v>132</v>
      </c>
      <c r="F223" s="4" t="s">
        <v>525</v>
      </c>
      <c r="G223" s="4" t="str">
        <f>"2025MR1C9458"</f>
        <v>2025MR1C9458</v>
      </c>
      <c r="H223" s="4" t="str">
        <f t="shared" si="19"/>
        <v>K235</v>
      </c>
      <c r="I223" s="4" t="str">
        <f t="shared" si="20"/>
        <v>LOGITECH</v>
      </c>
      <c r="J223" s="4"/>
      <c r="K223" s="4"/>
      <c r="L223" s="9">
        <v>25.5</v>
      </c>
      <c r="M223" s="4"/>
      <c r="N223" s="4" t="s">
        <v>233</v>
      </c>
      <c r="O223" s="4" t="s">
        <v>255</v>
      </c>
      <c r="P223" s="4" t="s">
        <v>527</v>
      </c>
      <c r="Q223" s="4" t="s">
        <v>54</v>
      </c>
      <c r="R223" s="4" t="s">
        <v>55</v>
      </c>
      <c r="S223" s="4" t="s">
        <v>56</v>
      </c>
      <c r="T223" s="4">
        <v>6</v>
      </c>
      <c r="U223" s="4" t="s">
        <v>57</v>
      </c>
      <c r="V223" s="4">
        <v>97459</v>
      </c>
      <c r="W223" s="4" t="s">
        <v>58</v>
      </c>
      <c r="X223" s="4">
        <v>1717662512</v>
      </c>
      <c r="Y223" s="4" t="s">
        <v>71</v>
      </c>
      <c r="Z223" s="4" t="s">
        <v>55</v>
      </c>
      <c r="AA223" s="4" t="s">
        <v>116</v>
      </c>
      <c r="AB223" s="4" t="s">
        <v>61</v>
      </c>
      <c r="AC223" s="4" t="s">
        <v>73</v>
      </c>
      <c r="AD223" s="4" t="s">
        <v>62</v>
      </c>
      <c r="AE223" s="4" t="s">
        <v>55</v>
      </c>
      <c r="AF223" s="4" t="s">
        <v>55</v>
      </c>
      <c r="AG223" s="4" t="s">
        <v>532</v>
      </c>
      <c r="AH223" s="4">
        <v>0</v>
      </c>
      <c r="AI223" s="4" t="s">
        <v>529</v>
      </c>
      <c r="AJ223" s="4" t="s">
        <v>55</v>
      </c>
      <c r="AK223" s="5">
        <v>45980</v>
      </c>
      <c r="AL223" s="6">
        <v>45980</v>
      </c>
      <c r="AM223" s="6">
        <v>46081</v>
      </c>
      <c r="AN223" s="4">
        <v>1</v>
      </c>
      <c r="AO223" s="6">
        <v>46344</v>
      </c>
      <c r="AP223" s="9">
        <v>25.5</v>
      </c>
      <c r="AQ223" s="9">
        <v>2.5499999999999998</v>
      </c>
      <c r="AR223" s="9">
        <v>19.09</v>
      </c>
      <c r="AS223" s="9">
        <v>6.41</v>
      </c>
      <c r="AT223" s="4" t="s">
        <v>49</v>
      </c>
    </row>
    <row r="224" spans="1:46" ht="75" x14ac:dyDescent="0.25">
      <c r="A224" s="4">
        <v>40613868</v>
      </c>
      <c r="B224" s="4" t="str">
        <f>""</f>
        <v/>
      </c>
      <c r="C224" s="4" t="str">
        <f t="shared" si="18"/>
        <v>110101020001</v>
      </c>
      <c r="D224" s="4">
        <v>97</v>
      </c>
      <c r="E224" s="4" t="s">
        <v>132</v>
      </c>
      <c r="F224" s="4" t="s">
        <v>525</v>
      </c>
      <c r="G224" s="4" t="str">
        <f>"2012MR2B1E18"</f>
        <v>2012MR2B1E18</v>
      </c>
      <c r="H224" s="4" t="str">
        <f t="shared" si="19"/>
        <v>K235</v>
      </c>
      <c r="I224" s="4" t="str">
        <f t="shared" si="20"/>
        <v>LOGITECH</v>
      </c>
      <c r="J224" s="4"/>
      <c r="K224" s="4"/>
      <c r="L224" s="9">
        <v>25.5</v>
      </c>
      <c r="M224" s="4"/>
      <c r="N224" s="4" t="s">
        <v>233</v>
      </c>
      <c r="O224" s="4" t="s">
        <v>255</v>
      </c>
      <c r="P224" s="4" t="s">
        <v>527</v>
      </c>
      <c r="Q224" s="4" t="s">
        <v>54</v>
      </c>
      <c r="R224" s="4" t="s">
        <v>55</v>
      </c>
      <c r="S224" s="4" t="s">
        <v>56</v>
      </c>
      <c r="T224" s="4">
        <v>6</v>
      </c>
      <c r="U224" s="4" t="s">
        <v>57</v>
      </c>
      <c r="V224" s="4">
        <v>97459</v>
      </c>
      <c r="W224" s="4" t="s">
        <v>58</v>
      </c>
      <c r="X224" s="4">
        <v>1717662512</v>
      </c>
      <c r="Y224" s="4" t="s">
        <v>71</v>
      </c>
      <c r="Z224" s="4" t="s">
        <v>55</v>
      </c>
      <c r="AA224" s="4" t="s">
        <v>116</v>
      </c>
      <c r="AB224" s="4" t="s">
        <v>61</v>
      </c>
      <c r="AC224" s="4" t="s">
        <v>73</v>
      </c>
      <c r="AD224" s="4" t="s">
        <v>62</v>
      </c>
      <c r="AE224" s="4" t="s">
        <v>55</v>
      </c>
      <c r="AF224" s="4" t="s">
        <v>55</v>
      </c>
      <c r="AG224" s="4" t="s">
        <v>533</v>
      </c>
      <c r="AH224" s="4">
        <v>0</v>
      </c>
      <c r="AI224" s="4" t="s">
        <v>529</v>
      </c>
      <c r="AJ224" s="4" t="s">
        <v>55</v>
      </c>
      <c r="AK224" s="5">
        <v>45980</v>
      </c>
      <c r="AL224" s="6">
        <v>45980</v>
      </c>
      <c r="AM224" s="6">
        <v>46081</v>
      </c>
      <c r="AN224" s="4">
        <v>1</v>
      </c>
      <c r="AO224" s="6">
        <v>46344</v>
      </c>
      <c r="AP224" s="9">
        <v>25.5</v>
      </c>
      <c r="AQ224" s="9">
        <v>2.5499999999999998</v>
      </c>
      <c r="AR224" s="9">
        <v>19.09</v>
      </c>
      <c r="AS224" s="9">
        <v>6.41</v>
      </c>
      <c r="AT224" s="4" t="s">
        <v>49</v>
      </c>
    </row>
    <row r="225" spans="1:46" ht="75" x14ac:dyDescent="0.25">
      <c r="A225" s="4">
        <v>40614438</v>
      </c>
      <c r="B225" s="4" t="str">
        <f>""</f>
        <v/>
      </c>
      <c r="C225" s="4" t="str">
        <f t="shared" si="18"/>
        <v>110101020001</v>
      </c>
      <c r="D225" s="4">
        <v>99</v>
      </c>
      <c r="E225" s="4" t="s">
        <v>132</v>
      </c>
      <c r="F225" s="4" t="s">
        <v>525</v>
      </c>
      <c r="G225" s="4" t="str">
        <f>"2025MR1C95F8"</f>
        <v>2025MR1C95F8</v>
      </c>
      <c r="H225" s="4" t="str">
        <f t="shared" si="19"/>
        <v>K235</v>
      </c>
      <c r="I225" s="4" t="str">
        <f t="shared" si="20"/>
        <v>LOGITECH</v>
      </c>
      <c r="J225" s="4"/>
      <c r="K225" s="4"/>
      <c r="L225" s="9">
        <v>25.5</v>
      </c>
      <c r="M225" s="4"/>
      <c r="N225" s="4" t="s">
        <v>233</v>
      </c>
      <c r="O225" s="4" t="s">
        <v>255</v>
      </c>
      <c r="P225" s="4" t="s">
        <v>527</v>
      </c>
      <c r="Q225" s="4" t="s">
        <v>54</v>
      </c>
      <c r="R225" s="4" t="s">
        <v>55</v>
      </c>
      <c r="S225" s="4" t="s">
        <v>56</v>
      </c>
      <c r="T225" s="4">
        <v>6</v>
      </c>
      <c r="U225" s="4" t="s">
        <v>57</v>
      </c>
      <c r="V225" s="4">
        <v>97459</v>
      </c>
      <c r="W225" s="4" t="s">
        <v>58</v>
      </c>
      <c r="X225" s="4">
        <v>1722641816</v>
      </c>
      <c r="Y225" s="4" t="s">
        <v>222</v>
      </c>
      <c r="Z225" s="4" t="s">
        <v>55</v>
      </c>
      <c r="AA225" s="4" t="s">
        <v>116</v>
      </c>
      <c r="AB225" s="4" t="s">
        <v>61</v>
      </c>
      <c r="AC225" s="4" t="s">
        <v>73</v>
      </c>
      <c r="AD225" s="4" t="s">
        <v>62</v>
      </c>
      <c r="AE225" s="4" t="s">
        <v>55</v>
      </c>
      <c r="AF225" s="4" t="s">
        <v>55</v>
      </c>
      <c r="AG225" s="4" t="s">
        <v>534</v>
      </c>
      <c r="AH225" s="4">
        <v>0</v>
      </c>
      <c r="AI225" s="4" t="s">
        <v>529</v>
      </c>
      <c r="AJ225" s="4" t="s">
        <v>55</v>
      </c>
      <c r="AK225" s="5">
        <v>45980</v>
      </c>
      <c r="AL225" s="6">
        <v>45980</v>
      </c>
      <c r="AM225" s="6">
        <v>46081</v>
      </c>
      <c r="AN225" s="4">
        <v>1</v>
      </c>
      <c r="AO225" s="6">
        <v>46344</v>
      </c>
      <c r="AP225" s="9">
        <v>25.5</v>
      </c>
      <c r="AQ225" s="9">
        <v>2.5499999999999998</v>
      </c>
      <c r="AR225" s="9">
        <v>19.09</v>
      </c>
      <c r="AS225" s="9">
        <v>6.41</v>
      </c>
      <c r="AT225" s="4" t="s">
        <v>49</v>
      </c>
    </row>
    <row r="226" spans="1:46" ht="75" x14ac:dyDescent="0.25">
      <c r="A226" s="4">
        <v>40614478</v>
      </c>
      <c r="B226" s="4" t="str">
        <f>""</f>
        <v/>
      </c>
      <c r="C226" s="4" t="str">
        <f t="shared" si="18"/>
        <v>110101020001</v>
      </c>
      <c r="D226" s="4">
        <v>101</v>
      </c>
      <c r="E226" s="4" t="s">
        <v>132</v>
      </c>
      <c r="F226" s="4" t="s">
        <v>525</v>
      </c>
      <c r="G226" s="4" t="str">
        <f>"2025MR1C9438"</f>
        <v>2025MR1C9438</v>
      </c>
      <c r="H226" s="4" t="str">
        <f t="shared" si="19"/>
        <v>K235</v>
      </c>
      <c r="I226" s="4" t="str">
        <f t="shared" si="20"/>
        <v>LOGITECH</v>
      </c>
      <c r="J226" s="4"/>
      <c r="K226" s="4"/>
      <c r="L226" s="9">
        <v>25.5</v>
      </c>
      <c r="M226" s="4"/>
      <c r="N226" s="4" t="s">
        <v>233</v>
      </c>
      <c r="O226" s="4" t="s">
        <v>255</v>
      </c>
      <c r="P226" s="4" t="s">
        <v>527</v>
      </c>
      <c r="Q226" s="4" t="s">
        <v>54</v>
      </c>
      <c r="R226" s="4" t="s">
        <v>55</v>
      </c>
      <c r="S226" s="4" t="s">
        <v>56</v>
      </c>
      <c r="T226" s="4">
        <v>6</v>
      </c>
      <c r="U226" s="4" t="s">
        <v>57</v>
      </c>
      <c r="V226" s="4">
        <v>97459</v>
      </c>
      <c r="W226" s="4" t="s">
        <v>58</v>
      </c>
      <c r="X226" s="4">
        <v>1717662512</v>
      </c>
      <c r="Y226" s="4" t="s">
        <v>71</v>
      </c>
      <c r="Z226" s="4" t="s">
        <v>55</v>
      </c>
      <c r="AA226" s="4" t="s">
        <v>116</v>
      </c>
      <c r="AB226" s="4" t="s">
        <v>61</v>
      </c>
      <c r="AC226" s="4" t="s">
        <v>73</v>
      </c>
      <c r="AD226" s="4" t="s">
        <v>62</v>
      </c>
      <c r="AE226" s="4" t="s">
        <v>55</v>
      </c>
      <c r="AF226" s="4" t="s">
        <v>55</v>
      </c>
      <c r="AG226" s="4" t="s">
        <v>535</v>
      </c>
      <c r="AH226" s="4">
        <v>0</v>
      </c>
      <c r="AI226" s="4" t="s">
        <v>529</v>
      </c>
      <c r="AJ226" s="4" t="s">
        <v>55</v>
      </c>
      <c r="AK226" s="5">
        <v>45980</v>
      </c>
      <c r="AL226" s="6">
        <v>45980</v>
      </c>
      <c r="AM226" s="6">
        <v>46081</v>
      </c>
      <c r="AN226" s="4">
        <v>1</v>
      </c>
      <c r="AO226" s="6">
        <v>46344</v>
      </c>
      <c r="AP226" s="9">
        <v>25.5</v>
      </c>
      <c r="AQ226" s="9">
        <v>2.5499999999999998</v>
      </c>
      <c r="AR226" s="9">
        <v>19.09</v>
      </c>
      <c r="AS226" s="9">
        <v>6.41</v>
      </c>
      <c r="AT226" s="4" t="s">
        <v>49</v>
      </c>
    </row>
    <row r="227" spans="1:46" ht="75" x14ac:dyDescent="0.25">
      <c r="A227" s="4">
        <v>40614810</v>
      </c>
      <c r="B227" s="4" t="str">
        <f>""</f>
        <v/>
      </c>
      <c r="C227" s="4" t="str">
        <f t="shared" si="18"/>
        <v>110101020001</v>
      </c>
      <c r="D227" s="4">
        <v>106</v>
      </c>
      <c r="E227" s="4" t="s">
        <v>132</v>
      </c>
      <c r="F227" s="4" t="s">
        <v>525</v>
      </c>
      <c r="G227" s="4" t="str">
        <f>"2012MR2B1D48"</f>
        <v>2012MR2B1D48</v>
      </c>
      <c r="H227" s="4" t="str">
        <f t="shared" si="19"/>
        <v>K235</v>
      </c>
      <c r="I227" s="4" t="str">
        <f t="shared" si="20"/>
        <v>LOGITECH</v>
      </c>
      <c r="J227" s="4"/>
      <c r="K227" s="4"/>
      <c r="L227" s="9">
        <v>25.5</v>
      </c>
      <c r="M227" s="4"/>
      <c r="N227" s="4" t="s">
        <v>233</v>
      </c>
      <c r="O227" s="4" t="s">
        <v>255</v>
      </c>
      <c r="P227" s="4" t="s">
        <v>527</v>
      </c>
      <c r="Q227" s="4" t="s">
        <v>54</v>
      </c>
      <c r="R227" s="4" t="s">
        <v>55</v>
      </c>
      <c r="S227" s="4" t="s">
        <v>56</v>
      </c>
      <c r="T227" s="4">
        <v>6</v>
      </c>
      <c r="U227" s="4" t="s">
        <v>57</v>
      </c>
      <c r="V227" s="4">
        <v>97459</v>
      </c>
      <c r="W227" s="4" t="s">
        <v>58</v>
      </c>
      <c r="X227" s="4">
        <v>1717662512</v>
      </c>
      <c r="Y227" s="4" t="s">
        <v>71</v>
      </c>
      <c r="Z227" s="4" t="s">
        <v>55</v>
      </c>
      <c r="AA227" s="4" t="s">
        <v>116</v>
      </c>
      <c r="AB227" s="4" t="s">
        <v>61</v>
      </c>
      <c r="AC227" s="4" t="s">
        <v>73</v>
      </c>
      <c r="AD227" s="4" t="s">
        <v>62</v>
      </c>
      <c r="AE227" s="4" t="s">
        <v>55</v>
      </c>
      <c r="AF227" s="4" t="s">
        <v>55</v>
      </c>
      <c r="AG227" s="4" t="s">
        <v>536</v>
      </c>
      <c r="AH227" s="4">
        <v>0</v>
      </c>
      <c r="AI227" s="4" t="s">
        <v>529</v>
      </c>
      <c r="AJ227" s="4" t="s">
        <v>55</v>
      </c>
      <c r="AK227" s="5">
        <v>45980</v>
      </c>
      <c r="AL227" s="6">
        <v>45980</v>
      </c>
      <c r="AM227" s="6">
        <v>46081</v>
      </c>
      <c r="AN227" s="4">
        <v>1</v>
      </c>
      <c r="AO227" s="6">
        <v>46344</v>
      </c>
      <c r="AP227" s="9">
        <v>25.5</v>
      </c>
      <c r="AQ227" s="9">
        <v>2.5499999999999998</v>
      </c>
      <c r="AR227" s="9">
        <v>19.09</v>
      </c>
      <c r="AS227" s="9">
        <v>6.41</v>
      </c>
      <c r="AT227" s="4" t="s">
        <v>49</v>
      </c>
    </row>
    <row r="228" spans="1:46" ht="75" x14ac:dyDescent="0.25">
      <c r="A228" s="4">
        <v>40617145</v>
      </c>
      <c r="B228" s="4" t="str">
        <f>""</f>
        <v/>
      </c>
      <c r="C228" s="4" t="str">
        <f t="shared" si="18"/>
        <v>110101020001</v>
      </c>
      <c r="D228" s="4">
        <v>113</v>
      </c>
      <c r="E228" s="4" t="s">
        <v>132</v>
      </c>
      <c r="F228" s="4" t="s">
        <v>525</v>
      </c>
      <c r="G228" s="4" t="str">
        <f>"2012MR2B1B88"</f>
        <v>2012MR2B1B88</v>
      </c>
      <c r="H228" s="4" t="str">
        <f t="shared" si="19"/>
        <v>K235</v>
      </c>
      <c r="I228" s="4" t="str">
        <f t="shared" si="20"/>
        <v>LOGITECH</v>
      </c>
      <c r="J228" s="4"/>
      <c r="K228" s="4"/>
      <c r="L228" s="9">
        <v>25.5</v>
      </c>
      <c r="M228" s="4"/>
      <c r="N228" s="4" t="s">
        <v>233</v>
      </c>
      <c r="O228" s="4" t="s">
        <v>255</v>
      </c>
      <c r="P228" s="4" t="s">
        <v>527</v>
      </c>
      <c r="Q228" s="4" t="s">
        <v>54</v>
      </c>
      <c r="R228" s="4" t="s">
        <v>55</v>
      </c>
      <c r="S228" s="4" t="s">
        <v>56</v>
      </c>
      <c r="T228" s="4">
        <v>6</v>
      </c>
      <c r="U228" s="4" t="s">
        <v>57</v>
      </c>
      <c r="V228" s="4">
        <v>97459</v>
      </c>
      <c r="W228" s="4" t="s">
        <v>58</v>
      </c>
      <c r="X228" s="4">
        <v>1717662512</v>
      </c>
      <c r="Y228" s="4" t="s">
        <v>71</v>
      </c>
      <c r="Z228" s="4" t="s">
        <v>55</v>
      </c>
      <c r="AA228" s="4" t="s">
        <v>116</v>
      </c>
      <c r="AB228" s="4" t="s">
        <v>61</v>
      </c>
      <c r="AC228" s="4" t="s">
        <v>73</v>
      </c>
      <c r="AD228" s="4" t="s">
        <v>62</v>
      </c>
      <c r="AE228" s="4" t="s">
        <v>55</v>
      </c>
      <c r="AF228" s="4" t="s">
        <v>55</v>
      </c>
      <c r="AG228" s="4" t="s">
        <v>537</v>
      </c>
      <c r="AH228" s="4">
        <v>0</v>
      </c>
      <c r="AI228" s="4" t="s">
        <v>529</v>
      </c>
      <c r="AJ228" s="4" t="s">
        <v>55</v>
      </c>
      <c r="AK228" s="5">
        <v>45981</v>
      </c>
      <c r="AL228" s="6">
        <v>45981</v>
      </c>
      <c r="AM228" s="6">
        <v>46081</v>
      </c>
      <c r="AN228" s="4">
        <v>1</v>
      </c>
      <c r="AO228" s="6">
        <v>46345</v>
      </c>
      <c r="AP228" s="9">
        <v>25.5</v>
      </c>
      <c r="AQ228" s="9">
        <v>2.5499999999999998</v>
      </c>
      <c r="AR228" s="9">
        <v>19.149999999999999</v>
      </c>
      <c r="AS228" s="9">
        <v>6.35</v>
      </c>
      <c r="AT228" s="4" t="s">
        <v>49</v>
      </c>
    </row>
    <row r="229" spans="1:46" ht="75" x14ac:dyDescent="0.25">
      <c r="A229" s="4">
        <v>40614861</v>
      </c>
      <c r="B229" s="4" t="str">
        <f>""</f>
        <v/>
      </c>
      <c r="C229" s="4" t="str">
        <f t="shared" si="18"/>
        <v>110101020001</v>
      </c>
      <c r="D229" s="4">
        <v>110</v>
      </c>
      <c r="E229" s="4" t="s">
        <v>132</v>
      </c>
      <c r="F229" s="4" t="s">
        <v>525</v>
      </c>
      <c r="G229" s="4" t="str">
        <f>"2025MR1C8C78"</f>
        <v>2025MR1C8C78</v>
      </c>
      <c r="H229" s="4" t="str">
        <f t="shared" si="19"/>
        <v>K235</v>
      </c>
      <c r="I229" s="4" t="str">
        <f t="shared" si="20"/>
        <v>LOGITECH</v>
      </c>
      <c r="J229" s="4"/>
      <c r="K229" s="4"/>
      <c r="L229" s="9">
        <v>25.5</v>
      </c>
      <c r="M229" s="4"/>
      <c r="N229" s="4" t="s">
        <v>233</v>
      </c>
      <c r="O229" s="4" t="s">
        <v>255</v>
      </c>
      <c r="P229" s="4" t="s">
        <v>527</v>
      </c>
      <c r="Q229" s="4" t="s">
        <v>54</v>
      </c>
      <c r="R229" s="4" t="s">
        <v>55</v>
      </c>
      <c r="S229" s="4" t="s">
        <v>56</v>
      </c>
      <c r="T229" s="4">
        <v>6</v>
      </c>
      <c r="U229" s="4" t="s">
        <v>57</v>
      </c>
      <c r="V229" s="4">
        <v>97459</v>
      </c>
      <c r="W229" s="4" t="s">
        <v>58</v>
      </c>
      <c r="X229" s="4">
        <v>1717662512</v>
      </c>
      <c r="Y229" s="4" t="s">
        <v>71</v>
      </c>
      <c r="Z229" s="4" t="s">
        <v>55</v>
      </c>
      <c r="AA229" s="4" t="s">
        <v>116</v>
      </c>
      <c r="AB229" s="4" t="s">
        <v>61</v>
      </c>
      <c r="AC229" s="4" t="s">
        <v>73</v>
      </c>
      <c r="AD229" s="4" t="s">
        <v>62</v>
      </c>
      <c r="AE229" s="4" t="s">
        <v>55</v>
      </c>
      <c r="AF229" s="4" t="s">
        <v>55</v>
      </c>
      <c r="AG229" s="4" t="s">
        <v>540</v>
      </c>
      <c r="AH229" s="4">
        <v>0</v>
      </c>
      <c r="AI229" s="4" t="s">
        <v>529</v>
      </c>
      <c r="AJ229" s="4" t="s">
        <v>55</v>
      </c>
      <c r="AK229" s="5">
        <v>45980</v>
      </c>
      <c r="AL229" s="6">
        <v>45980</v>
      </c>
      <c r="AM229" s="6">
        <v>46081</v>
      </c>
      <c r="AN229" s="4">
        <v>1</v>
      </c>
      <c r="AO229" s="6">
        <v>46344</v>
      </c>
      <c r="AP229" s="9">
        <v>25.5</v>
      </c>
      <c r="AQ229" s="9">
        <v>2.5499999999999998</v>
      </c>
      <c r="AR229" s="9">
        <v>19.09</v>
      </c>
      <c r="AS229" s="9">
        <v>6.41</v>
      </c>
      <c r="AT229" s="4" t="s">
        <v>49</v>
      </c>
    </row>
    <row r="230" spans="1:46" ht="75" x14ac:dyDescent="0.25">
      <c r="A230" s="4">
        <v>40614862</v>
      </c>
      <c r="B230" s="4" t="str">
        <f>""</f>
        <v/>
      </c>
      <c r="C230" s="4" t="str">
        <f t="shared" si="18"/>
        <v>110101020001</v>
      </c>
      <c r="D230" s="4">
        <v>111</v>
      </c>
      <c r="E230" s="4" t="s">
        <v>132</v>
      </c>
      <c r="F230" s="4" t="s">
        <v>525</v>
      </c>
      <c r="G230" s="4" t="str">
        <f>"2025MR1C9628"</f>
        <v>2025MR1C9628</v>
      </c>
      <c r="H230" s="4" t="str">
        <f t="shared" si="19"/>
        <v>K235</v>
      </c>
      <c r="I230" s="4" t="str">
        <f t="shared" si="20"/>
        <v>LOGITECH</v>
      </c>
      <c r="J230" s="4"/>
      <c r="K230" s="4"/>
      <c r="L230" s="9">
        <v>25.5</v>
      </c>
      <c r="M230" s="4"/>
      <c r="N230" s="4" t="s">
        <v>233</v>
      </c>
      <c r="O230" s="4" t="s">
        <v>255</v>
      </c>
      <c r="P230" s="4" t="s">
        <v>527</v>
      </c>
      <c r="Q230" s="4" t="s">
        <v>54</v>
      </c>
      <c r="R230" s="4" t="s">
        <v>55</v>
      </c>
      <c r="S230" s="4" t="s">
        <v>56</v>
      </c>
      <c r="T230" s="4">
        <v>6</v>
      </c>
      <c r="U230" s="4" t="s">
        <v>57</v>
      </c>
      <c r="V230" s="4">
        <v>97459</v>
      </c>
      <c r="W230" s="4" t="s">
        <v>58</v>
      </c>
      <c r="X230" s="4">
        <v>1717662512</v>
      </c>
      <c r="Y230" s="4" t="s">
        <v>71</v>
      </c>
      <c r="Z230" s="4" t="s">
        <v>55</v>
      </c>
      <c r="AA230" s="4" t="s">
        <v>116</v>
      </c>
      <c r="AB230" s="4" t="s">
        <v>61</v>
      </c>
      <c r="AC230" s="4" t="s">
        <v>73</v>
      </c>
      <c r="AD230" s="4" t="s">
        <v>62</v>
      </c>
      <c r="AE230" s="4" t="s">
        <v>55</v>
      </c>
      <c r="AF230" s="4" t="s">
        <v>55</v>
      </c>
      <c r="AG230" s="4" t="s">
        <v>541</v>
      </c>
      <c r="AH230" s="4">
        <v>0</v>
      </c>
      <c r="AI230" s="4" t="s">
        <v>529</v>
      </c>
      <c r="AJ230" s="4" t="s">
        <v>55</v>
      </c>
      <c r="AK230" s="5">
        <v>45980</v>
      </c>
      <c r="AL230" s="6">
        <v>45980</v>
      </c>
      <c r="AM230" s="6">
        <v>46081</v>
      </c>
      <c r="AN230" s="4">
        <v>1</v>
      </c>
      <c r="AO230" s="6">
        <v>46344</v>
      </c>
      <c r="AP230" s="9">
        <v>25.5</v>
      </c>
      <c r="AQ230" s="9">
        <v>2.5499999999999998</v>
      </c>
      <c r="AR230" s="9">
        <v>19.09</v>
      </c>
      <c r="AS230" s="9">
        <v>6.41</v>
      </c>
      <c r="AT230" s="4" t="s">
        <v>49</v>
      </c>
    </row>
    <row r="231" spans="1:46" ht="75" x14ac:dyDescent="0.25">
      <c r="A231" s="4">
        <v>40614688</v>
      </c>
      <c r="B231" s="4" t="str">
        <f>""</f>
        <v/>
      </c>
      <c r="C231" s="4" t="str">
        <f t="shared" si="18"/>
        <v>110101020001</v>
      </c>
      <c r="D231" s="4">
        <v>105</v>
      </c>
      <c r="E231" s="4" t="s">
        <v>132</v>
      </c>
      <c r="F231" s="4" t="s">
        <v>525</v>
      </c>
      <c r="G231" s="4" t="str">
        <f>"2056MR1C8D38"</f>
        <v>2056MR1C8D38</v>
      </c>
      <c r="H231" s="4" t="str">
        <f t="shared" si="19"/>
        <v>K235</v>
      </c>
      <c r="I231" s="4" t="str">
        <f t="shared" si="20"/>
        <v>LOGITECH</v>
      </c>
      <c r="J231" s="4"/>
      <c r="K231" s="4"/>
      <c r="L231" s="9">
        <v>25.5</v>
      </c>
      <c r="M231" s="4"/>
      <c r="N231" s="4" t="s">
        <v>233</v>
      </c>
      <c r="O231" s="4" t="s">
        <v>255</v>
      </c>
      <c r="P231" s="4" t="s">
        <v>527</v>
      </c>
      <c r="Q231" s="4" t="s">
        <v>54</v>
      </c>
      <c r="R231" s="4" t="s">
        <v>55</v>
      </c>
      <c r="S231" s="4" t="s">
        <v>56</v>
      </c>
      <c r="T231" s="4">
        <v>6</v>
      </c>
      <c r="U231" s="4" t="s">
        <v>57</v>
      </c>
      <c r="V231" s="4">
        <v>97459</v>
      </c>
      <c r="W231" s="4" t="s">
        <v>58</v>
      </c>
      <c r="X231" s="4">
        <v>1717662512</v>
      </c>
      <c r="Y231" s="4" t="s">
        <v>71</v>
      </c>
      <c r="Z231" s="4" t="s">
        <v>55</v>
      </c>
      <c r="AA231" s="4" t="s">
        <v>116</v>
      </c>
      <c r="AB231" s="4" t="s">
        <v>61</v>
      </c>
      <c r="AC231" s="4" t="s">
        <v>73</v>
      </c>
      <c r="AD231" s="4" t="s">
        <v>62</v>
      </c>
      <c r="AE231" s="4" t="s">
        <v>55</v>
      </c>
      <c r="AF231" s="4" t="s">
        <v>55</v>
      </c>
      <c r="AG231" s="4" t="s">
        <v>542</v>
      </c>
      <c r="AH231" s="4">
        <v>0</v>
      </c>
      <c r="AI231" s="4" t="s">
        <v>529</v>
      </c>
      <c r="AJ231" s="4" t="s">
        <v>55</v>
      </c>
      <c r="AK231" s="5">
        <v>45980</v>
      </c>
      <c r="AL231" s="6">
        <v>45980</v>
      </c>
      <c r="AM231" s="6">
        <v>46081</v>
      </c>
      <c r="AN231" s="4">
        <v>1</v>
      </c>
      <c r="AO231" s="6">
        <v>46344</v>
      </c>
      <c r="AP231" s="9">
        <v>25.5</v>
      </c>
      <c r="AQ231" s="9">
        <v>2.5499999999999998</v>
      </c>
      <c r="AR231" s="9">
        <v>19.09</v>
      </c>
      <c r="AS231" s="9">
        <v>6.41</v>
      </c>
      <c r="AT231" s="4" t="s">
        <v>49</v>
      </c>
    </row>
    <row r="232" spans="1:46" ht="75" x14ac:dyDescent="0.25">
      <c r="A232" s="4">
        <v>40613914</v>
      </c>
      <c r="B232" s="4" t="str">
        <f>""</f>
        <v/>
      </c>
      <c r="C232" s="4" t="str">
        <f t="shared" si="18"/>
        <v>110101020001</v>
      </c>
      <c r="D232" s="4">
        <v>98</v>
      </c>
      <c r="E232" s="4" t="s">
        <v>132</v>
      </c>
      <c r="F232" s="4" t="s">
        <v>525</v>
      </c>
      <c r="G232" s="4" t="str">
        <f>"2010MR368ED8"</f>
        <v>2010MR368ED8</v>
      </c>
      <c r="H232" s="4" t="str">
        <f t="shared" si="19"/>
        <v>K235</v>
      </c>
      <c r="I232" s="4" t="str">
        <f t="shared" si="20"/>
        <v>LOGITECH</v>
      </c>
      <c r="J232" s="4"/>
      <c r="K232" s="4"/>
      <c r="L232" s="9">
        <v>25.5</v>
      </c>
      <c r="M232" s="4"/>
      <c r="N232" s="4" t="s">
        <v>233</v>
      </c>
      <c r="O232" s="4" t="s">
        <v>255</v>
      </c>
      <c r="P232" s="4" t="s">
        <v>527</v>
      </c>
      <c r="Q232" s="4" t="s">
        <v>54</v>
      </c>
      <c r="R232" s="4" t="s">
        <v>55</v>
      </c>
      <c r="S232" s="4" t="s">
        <v>56</v>
      </c>
      <c r="T232" s="4">
        <v>6</v>
      </c>
      <c r="U232" s="4" t="s">
        <v>57</v>
      </c>
      <c r="V232" s="4">
        <v>97459</v>
      </c>
      <c r="W232" s="4" t="s">
        <v>58</v>
      </c>
      <c r="X232" s="4">
        <v>103542908</v>
      </c>
      <c r="Y232" s="4" t="s">
        <v>164</v>
      </c>
      <c r="Z232" s="4" t="s">
        <v>55</v>
      </c>
      <c r="AA232" s="4" t="s">
        <v>116</v>
      </c>
      <c r="AB232" s="4" t="s">
        <v>61</v>
      </c>
      <c r="AC232" s="4" t="s">
        <v>73</v>
      </c>
      <c r="AD232" s="4" t="s">
        <v>62</v>
      </c>
      <c r="AE232" s="4" t="s">
        <v>55</v>
      </c>
      <c r="AF232" s="4" t="s">
        <v>55</v>
      </c>
      <c r="AG232" s="4" t="s">
        <v>543</v>
      </c>
      <c r="AH232" s="4">
        <v>0</v>
      </c>
      <c r="AI232" s="4" t="s">
        <v>529</v>
      </c>
      <c r="AJ232" s="4" t="s">
        <v>55</v>
      </c>
      <c r="AK232" s="5">
        <v>45980</v>
      </c>
      <c r="AL232" s="6">
        <v>45980</v>
      </c>
      <c r="AM232" s="6">
        <v>46081</v>
      </c>
      <c r="AN232" s="4">
        <v>1</v>
      </c>
      <c r="AO232" s="6">
        <v>46344</v>
      </c>
      <c r="AP232" s="9">
        <v>25.5</v>
      </c>
      <c r="AQ232" s="9">
        <v>2.5499999999999998</v>
      </c>
      <c r="AR232" s="9">
        <v>19.09</v>
      </c>
      <c r="AS232" s="9">
        <v>6.41</v>
      </c>
      <c r="AT232" s="4" t="s">
        <v>49</v>
      </c>
    </row>
    <row r="233" spans="1:46" ht="75" x14ac:dyDescent="0.25">
      <c r="A233" s="4">
        <v>40617080</v>
      </c>
      <c r="B233" s="4" t="str">
        <f>""</f>
        <v/>
      </c>
      <c r="C233" s="4" t="str">
        <f t="shared" si="18"/>
        <v>110101020001</v>
      </c>
      <c r="D233" s="4">
        <v>112</v>
      </c>
      <c r="E233" s="4" t="s">
        <v>132</v>
      </c>
      <c r="F233" s="4" t="s">
        <v>525</v>
      </c>
      <c r="G233" s="4" t="str">
        <f>"2010MR368738"</f>
        <v>2010MR368738</v>
      </c>
      <c r="H233" s="4" t="str">
        <f t="shared" si="19"/>
        <v>K235</v>
      </c>
      <c r="I233" s="4" t="str">
        <f t="shared" si="20"/>
        <v>LOGITECH</v>
      </c>
      <c r="J233" s="4"/>
      <c r="K233" s="4"/>
      <c r="L233" s="9">
        <v>25.5</v>
      </c>
      <c r="M233" s="4"/>
      <c r="N233" s="4" t="s">
        <v>233</v>
      </c>
      <c r="O233" s="4" t="s">
        <v>255</v>
      </c>
      <c r="P233" s="4" t="s">
        <v>527</v>
      </c>
      <c r="Q233" s="4" t="s">
        <v>54</v>
      </c>
      <c r="R233" s="4" t="s">
        <v>55</v>
      </c>
      <c r="S233" s="4" t="s">
        <v>56</v>
      </c>
      <c r="T233" s="4">
        <v>6</v>
      </c>
      <c r="U233" s="4" t="s">
        <v>57</v>
      </c>
      <c r="V233" s="4">
        <v>97459</v>
      </c>
      <c r="W233" s="4" t="s">
        <v>58</v>
      </c>
      <c r="X233" s="4">
        <v>1717662512</v>
      </c>
      <c r="Y233" s="4" t="s">
        <v>71</v>
      </c>
      <c r="Z233" s="4" t="s">
        <v>55</v>
      </c>
      <c r="AA233" s="4" t="s">
        <v>116</v>
      </c>
      <c r="AB233" s="4" t="s">
        <v>61</v>
      </c>
      <c r="AC233" s="4" t="s">
        <v>73</v>
      </c>
      <c r="AD233" s="4" t="s">
        <v>62</v>
      </c>
      <c r="AE233" s="4" t="s">
        <v>55</v>
      </c>
      <c r="AF233" s="4" t="s">
        <v>55</v>
      </c>
      <c r="AG233" s="4" t="s">
        <v>544</v>
      </c>
      <c r="AH233" s="4">
        <v>0</v>
      </c>
      <c r="AI233" s="4" t="s">
        <v>529</v>
      </c>
      <c r="AJ233" s="4" t="s">
        <v>55</v>
      </c>
      <c r="AK233" s="5">
        <v>45981</v>
      </c>
      <c r="AL233" s="6">
        <v>45981</v>
      </c>
      <c r="AM233" s="6">
        <v>46081</v>
      </c>
      <c r="AN233" s="4">
        <v>1</v>
      </c>
      <c r="AO233" s="6">
        <v>46345</v>
      </c>
      <c r="AP233" s="9">
        <v>25.5</v>
      </c>
      <c r="AQ233" s="9">
        <v>2.5499999999999998</v>
      </c>
      <c r="AR233" s="9">
        <v>19.149999999999999</v>
      </c>
      <c r="AS233" s="9">
        <v>6.35</v>
      </c>
      <c r="AT233" s="4" t="s">
        <v>49</v>
      </c>
    </row>
    <row r="234" spans="1:46" ht="75" x14ac:dyDescent="0.25">
      <c r="A234" s="4">
        <v>40617149</v>
      </c>
      <c r="B234" s="4" t="str">
        <f>""</f>
        <v/>
      </c>
      <c r="C234" s="4" t="str">
        <f t="shared" si="18"/>
        <v>110101020001</v>
      </c>
      <c r="D234" s="4">
        <v>114</v>
      </c>
      <c r="E234" s="4" t="s">
        <v>132</v>
      </c>
      <c r="F234" s="4" t="s">
        <v>525</v>
      </c>
      <c r="G234" s="4" t="str">
        <f>"2012MR2B1E08"</f>
        <v>2012MR2B1E08</v>
      </c>
      <c r="H234" s="4" t="str">
        <f t="shared" si="19"/>
        <v>K235</v>
      </c>
      <c r="I234" s="4" t="str">
        <f t="shared" si="20"/>
        <v>LOGITECH</v>
      </c>
      <c r="J234" s="4"/>
      <c r="K234" s="4"/>
      <c r="L234" s="9">
        <v>25.5</v>
      </c>
      <c r="M234" s="4"/>
      <c r="N234" s="4" t="s">
        <v>233</v>
      </c>
      <c r="O234" s="4" t="s">
        <v>255</v>
      </c>
      <c r="P234" s="4" t="s">
        <v>527</v>
      </c>
      <c r="Q234" s="4" t="s">
        <v>54</v>
      </c>
      <c r="R234" s="4" t="s">
        <v>55</v>
      </c>
      <c r="S234" s="4" t="s">
        <v>56</v>
      </c>
      <c r="T234" s="4">
        <v>6</v>
      </c>
      <c r="U234" s="4" t="s">
        <v>57</v>
      </c>
      <c r="V234" s="4">
        <v>97459</v>
      </c>
      <c r="W234" s="4" t="s">
        <v>58</v>
      </c>
      <c r="X234" s="4">
        <v>1717662512</v>
      </c>
      <c r="Y234" s="4" t="s">
        <v>71</v>
      </c>
      <c r="Z234" s="4" t="s">
        <v>55</v>
      </c>
      <c r="AA234" s="4" t="s">
        <v>116</v>
      </c>
      <c r="AB234" s="4" t="s">
        <v>61</v>
      </c>
      <c r="AC234" s="4" t="s">
        <v>73</v>
      </c>
      <c r="AD234" s="4" t="s">
        <v>62</v>
      </c>
      <c r="AE234" s="4" t="s">
        <v>55</v>
      </c>
      <c r="AF234" s="4" t="s">
        <v>55</v>
      </c>
      <c r="AG234" s="4" t="s">
        <v>545</v>
      </c>
      <c r="AH234" s="4">
        <v>0</v>
      </c>
      <c r="AI234" s="4" t="s">
        <v>529</v>
      </c>
      <c r="AJ234" s="4" t="s">
        <v>55</v>
      </c>
      <c r="AK234" s="5">
        <v>45981</v>
      </c>
      <c r="AL234" s="6">
        <v>45981</v>
      </c>
      <c r="AM234" s="6">
        <v>46081</v>
      </c>
      <c r="AN234" s="4">
        <v>1</v>
      </c>
      <c r="AO234" s="6">
        <v>46345</v>
      </c>
      <c r="AP234" s="9">
        <v>25.5</v>
      </c>
      <c r="AQ234" s="9">
        <v>2.5499999999999998</v>
      </c>
      <c r="AR234" s="9">
        <v>19.149999999999999</v>
      </c>
      <c r="AS234" s="9">
        <v>6.35</v>
      </c>
      <c r="AT234" s="4" t="s">
        <v>49</v>
      </c>
    </row>
    <row r="235" spans="1:46" ht="75" x14ac:dyDescent="0.25">
      <c r="A235" s="4">
        <v>40614687</v>
      </c>
      <c r="B235" s="4" t="str">
        <f>""</f>
        <v/>
      </c>
      <c r="C235" s="4" t="str">
        <f t="shared" si="18"/>
        <v>110101020001</v>
      </c>
      <c r="D235" s="4">
        <v>104</v>
      </c>
      <c r="E235" s="4" t="s">
        <v>132</v>
      </c>
      <c r="F235" s="4" t="s">
        <v>525</v>
      </c>
      <c r="G235" s="4" t="str">
        <f>"2010MR369968"</f>
        <v>2010MR369968</v>
      </c>
      <c r="H235" s="4" t="str">
        <f t="shared" si="19"/>
        <v>K235</v>
      </c>
      <c r="I235" s="4" t="str">
        <f t="shared" si="20"/>
        <v>LOGITECH</v>
      </c>
      <c r="J235" s="4"/>
      <c r="K235" s="4"/>
      <c r="L235" s="9">
        <v>25.5</v>
      </c>
      <c r="M235" s="4"/>
      <c r="N235" s="4" t="s">
        <v>233</v>
      </c>
      <c r="O235" s="4" t="s">
        <v>255</v>
      </c>
      <c r="P235" s="4" t="s">
        <v>527</v>
      </c>
      <c r="Q235" s="4" t="s">
        <v>54</v>
      </c>
      <c r="R235" s="4" t="s">
        <v>55</v>
      </c>
      <c r="S235" s="4" t="s">
        <v>56</v>
      </c>
      <c r="T235" s="4">
        <v>6</v>
      </c>
      <c r="U235" s="4" t="s">
        <v>57</v>
      </c>
      <c r="V235" s="4">
        <v>97459</v>
      </c>
      <c r="W235" s="4" t="s">
        <v>58</v>
      </c>
      <c r="X235" s="4">
        <v>1717662512</v>
      </c>
      <c r="Y235" s="4" t="s">
        <v>71</v>
      </c>
      <c r="Z235" s="4" t="s">
        <v>55</v>
      </c>
      <c r="AA235" s="4" t="s">
        <v>116</v>
      </c>
      <c r="AB235" s="4" t="s">
        <v>61</v>
      </c>
      <c r="AC235" s="4" t="s">
        <v>73</v>
      </c>
      <c r="AD235" s="4" t="s">
        <v>62</v>
      </c>
      <c r="AE235" s="4" t="s">
        <v>55</v>
      </c>
      <c r="AF235" s="4" t="s">
        <v>55</v>
      </c>
      <c r="AG235" s="4" t="s">
        <v>546</v>
      </c>
      <c r="AH235" s="4">
        <v>0</v>
      </c>
      <c r="AI235" s="4" t="s">
        <v>529</v>
      </c>
      <c r="AJ235" s="4" t="s">
        <v>55</v>
      </c>
      <c r="AK235" s="5">
        <v>45980</v>
      </c>
      <c r="AL235" s="6">
        <v>45980</v>
      </c>
      <c r="AM235" s="6">
        <v>46081</v>
      </c>
      <c r="AN235" s="4">
        <v>1</v>
      </c>
      <c r="AO235" s="6">
        <v>46344</v>
      </c>
      <c r="AP235" s="9">
        <v>25.5</v>
      </c>
      <c r="AQ235" s="9">
        <v>2.5499999999999998</v>
      </c>
      <c r="AR235" s="9">
        <v>19.09</v>
      </c>
      <c r="AS235" s="9">
        <v>6.41</v>
      </c>
      <c r="AT235" s="4" t="s">
        <v>49</v>
      </c>
    </row>
    <row r="236" spans="1:46" ht="75" x14ac:dyDescent="0.25">
      <c r="A236" s="4">
        <v>40614813</v>
      </c>
      <c r="B236" s="4" t="str">
        <f>""</f>
        <v/>
      </c>
      <c r="C236" s="4" t="str">
        <f t="shared" si="18"/>
        <v>110101020001</v>
      </c>
      <c r="D236" s="4">
        <v>109</v>
      </c>
      <c r="E236" s="4" t="s">
        <v>132</v>
      </c>
      <c r="F236" s="4" t="s">
        <v>525</v>
      </c>
      <c r="G236" s="4" t="str">
        <f>"2012MR2B48F8"</f>
        <v>2012MR2B48F8</v>
      </c>
      <c r="H236" s="4" t="str">
        <f t="shared" si="19"/>
        <v>K235</v>
      </c>
      <c r="I236" s="4" t="str">
        <f t="shared" si="20"/>
        <v>LOGITECH</v>
      </c>
      <c r="J236" s="4"/>
      <c r="K236" s="4"/>
      <c r="L236" s="9">
        <v>25.5</v>
      </c>
      <c r="M236" s="4"/>
      <c r="N236" s="4" t="s">
        <v>233</v>
      </c>
      <c r="O236" s="4" t="s">
        <v>255</v>
      </c>
      <c r="P236" s="4" t="s">
        <v>527</v>
      </c>
      <c r="Q236" s="4" t="s">
        <v>54</v>
      </c>
      <c r="R236" s="4" t="s">
        <v>55</v>
      </c>
      <c r="S236" s="4" t="s">
        <v>56</v>
      </c>
      <c r="T236" s="4">
        <v>6</v>
      </c>
      <c r="U236" s="4" t="s">
        <v>57</v>
      </c>
      <c r="V236" s="4">
        <v>97459</v>
      </c>
      <c r="W236" s="4" t="s">
        <v>58</v>
      </c>
      <c r="X236" s="4">
        <v>1717662512</v>
      </c>
      <c r="Y236" s="4" t="s">
        <v>71</v>
      </c>
      <c r="Z236" s="4" t="s">
        <v>55</v>
      </c>
      <c r="AA236" s="4" t="s">
        <v>116</v>
      </c>
      <c r="AB236" s="4" t="s">
        <v>61</v>
      </c>
      <c r="AC236" s="4" t="s">
        <v>73</v>
      </c>
      <c r="AD236" s="4" t="s">
        <v>62</v>
      </c>
      <c r="AE236" s="4" t="s">
        <v>55</v>
      </c>
      <c r="AF236" s="4" t="s">
        <v>55</v>
      </c>
      <c r="AG236" s="4" t="s">
        <v>547</v>
      </c>
      <c r="AH236" s="4">
        <v>0</v>
      </c>
      <c r="AI236" s="4" t="s">
        <v>529</v>
      </c>
      <c r="AJ236" s="4" t="s">
        <v>55</v>
      </c>
      <c r="AK236" s="5">
        <v>45980</v>
      </c>
      <c r="AL236" s="6">
        <v>45980</v>
      </c>
      <c r="AM236" s="6">
        <v>46081</v>
      </c>
      <c r="AN236" s="4">
        <v>1</v>
      </c>
      <c r="AO236" s="6">
        <v>46344</v>
      </c>
      <c r="AP236" s="9">
        <v>25.5</v>
      </c>
      <c r="AQ236" s="9">
        <v>2.5499999999999998</v>
      </c>
      <c r="AR236" s="9">
        <v>19.09</v>
      </c>
      <c r="AS236" s="9">
        <v>6.41</v>
      </c>
      <c r="AT236" s="4" t="s">
        <v>49</v>
      </c>
    </row>
    <row r="237" spans="1:46" ht="75" x14ac:dyDescent="0.25">
      <c r="A237" s="4">
        <v>40614449</v>
      </c>
      <c r="B237" s="4" t="str">
        <f>""</f>
        <v/>
      </c>
      <c r="C237" s="4" t="str">
        <f t="shared" si="18"/>
        <v>110101020001</v>
      </c>
      <c r="D237" s="4">
        <v>100</v>
      </c>
      <c r="E237" s="4" t="s">
        <v>132</v>
      </c>
      <c r="F237" s="4" t="s">
        <v>525</v>
      </c>
      <c r="G237" s="4" t="str">
        <f>"2025MR1C8DB8"</f>
        <v>2025MR1C8DB8</v>
      </c>
      <c r="H237" s="4" t="str">
        <f t="shared" si="19"/>
        <v>K235</v>
      </c>
      <c r="I237" s="4" t="str">
        <f t="shared" si="20"/>
        <v>LOGITECH</v>
      </c>
      <c r="J237" s="4"/>
      <c r="K237" s="4"/>
      <c r="L237" s="9">
        <v>25.5</v>
      </c>
      <c r="M237" s="4"/>
      <c r="N237" s="4" t="s">
        <v>233</v>
      </c>
      <c r="O237" s="4" t="s">
        <v>255</v>
      </c>
      <c r="P237" s="4" t="s">
        <v>527</v>
      </c>
      <c r="Q237" s="4" t="s">
        <v>54</v>
      </c>
      <c r="R237" s="4" t="s">
        <v>55</v>
      </c>
      <c r="S237" s="4" t="s">
        <v>56</v>
      </c>
      <c r="T237" s="4">
        <v>6</v>
      </c>
      <c r="U237" s="4" t="s">
        <v>57</v>
      </c>
      <c r="V237" s="4">
        <v>97459</v>
      </c>
      <c r="W237" s="4" t="s">
        <v>58</v>
      </c>
      <c r="X237" s="4">
        <v>1717662512</v>
      </c>
      <c r="Y237" s="4" t="s">
        <v>71</v>
      </c>
      <c r="Z237" s="4" t="s">
        <v>55</v>
      </c>
      <c r="AA237" s="4" t="s">
        <v>116</v>
      </c>
      <c r="AB237" s="4" t="s">
        <v>61</v>
      </c>
      <c r="AC237" s="4" t="s">
        <v>73</v>
      </c>
      <c r="AD237" s="4" t="s">
        <v>62</v>
      </c>
      <c r="AE237" s="4" t="s">
        <v>55</v>
      </c>
      <c r="AF237" s="4" t="s">
        <v>55</v>
      </c>
      <c r="AG237" s="4" t="s">
        <v>548</v>
      </c>
      <c r="AH237" s="4">
        <v>0</v>
      </c>
      <c r="AI237" s="4" t="s">
        <v>529</v>
      </c>
      <c r="AJ237" s="4" t="s">
        <v>55</v>
      </c>
      <c r="AK237" s="5">
        <v>45980</v>
      </c>
      <c r="AL237" s="6">
        <v>45980</v>
      </c>
      <c r="AM237" s="6">
        <v>46081</v>
      </c>
      <c r="AN237" s="4">
        <v>1</v>
      </c>
      <c r="AO237" s="6">
        <v>46344</v>
      </c>
      <c r="AP237" s="9">
        <v>25.5</v>
      </c>
      <c r="AQ237" s="9">
        <v>2.5499999999999998</v>
      </c>
      <c r="AR237" s="9">
        <v>19.09</v>
      </c>
      <c r="AS237" s="9">
        <v>6.41</v>
      </c>
      <c r="AT237" s="4" t="s">
        <v>49</v>
      </c>
    </row>
    <row r="238" spans="1:46" ht="75" x14ac:dyDescent="0.25">
      <c r="A238" s="4">
        <v>40614673</v>
      </c>
      <c r="B238" s="4" t="str">
        <f>""</f>
        <v/>
      </c>
      <c r="C238" s="4" t="str">
        <f t="shared" si="18"/>
        <v>110101020001</v>
      </c>
      <c r="D238" s="4">
        <v>103</v>
      </c>
      <c r="E238" s="4" t="s">
        <v>132</v>
      </c>
      <c r="F238" s="4" t="s">
        <v>525</v>
      </c>
      <c r="G238" s="4" t="str">
        <f>"2025MR1C8DD8"</f>
        <v>2025MR1C8DD8</v>
      </c>
      <c r="H238" s="4" t="str">
        <f t="shared" si="19"/>
        <v>K235</v>
      </c>
      <c r="I238" s="4" t="str">
        <f t="shared" si="20"/>
        <v>LOGITECH</v>
      </c>
      <c r="J238" s="4"/>
      <c r="K238" s="4"/>
      <c r="L238" s="9">
        <v>25.5</v>
      </c>
      <c r="M238" s="4"/>
      <c r="N238" s="4" t="s">
        <v>233</v>
      </c>
      <c r="O238" s="4" t="s">
        <v>255</v>
      </c>
      <c r="P238" s="4" t="s">
        <v>527</v>
      </c>
      <c r="Q238" s="4" t="s">
        <v>54</v>
      </c>
      <c r="R238" s="4" t="s">
        <v>55</v>
      </c>
      <c r="S238" s="4" t="s">
        <v>56</v>
      </c>
      <c r="T238" s="4">
        <v>6</v>
      </c>
      <c r="U238" s="4" t="s">
        <v>57</v>
      </c>
      <c r="V238" s="4">
        <v>97459</v>
      </c>
      <c r="W238" s="4" t="s">
        <v>58</v>
      </c>
      <c r="X238" s="4">
        <v>1717662512</v>
      </c>
      <c r="Y238" s="4" t="s">
        <v>71</v>
      </c>
      <c r="Z238" s="4" t="s">
        <v>55</v>
      </c>
      <c r="AA238" s="4" t="s">
        <v>116</v>
      </c>
      <c r="AB238" s="4" t="s">
        <v>61</v>
      </c>
      <c r="AC238" s="4" t="s">
        <v>73</v>
      </c>
      <c r="AD238" s="4" t="s">
        <v>62</v>
      </c>
      <c r="AE238" s="4" t="s">
        <v>55</v>
      </c>
      <c r="AF238" s="4" t="s">
        <v>55</v>
      </c>
      <c r="AG238" s="4" t="s">
        <v>549</v>
      </c>
      <c r="AH238" s="4">
        <v>0</v>
      </c>
      <c r="AI238" s="4" t="s">
        <v>529</v>
      </c>
      <c r="AJ238" s="4" t="s">
        <v>55</v>
      </c>
      <c r="AK238" s="5">
        <v>45980</v>
      </c>
      <c r="AL238" s="6">
        <v>45980</v>
      </c>
      <c r="AM238" s="6">
        <v>46081</v>
      </c>
      <c r="AN238" s="4">
        <v>1</v>
      </c>
      <c r="AO238" s="6">
        <v>46344</v>
      </c>
      <c r="AP238" s="9">
        <v>25.5</v>
      </c>
      <c r="AQ238" s="9">
        <v>2.5499999999999998</v>
      </c>
      <c r="AR238" s="9">
        <v>19.09</v>
      </c>
      <c r="AS238" s="9">
        <v>6.41</v>
      </c>
      <c r="AT238" s="4" t="s">
        <v>49</v>
      </c>
    </row>
    <row r="239" spans="1:46" ht="75" x14ac:dyDescent="0.25">
      <c r="A239" s="4">
        <v>40614811</v>
      </c>
      <c r="B239" s="4" t="str">
        <f>""</f>
        <v/>
      </c>
      <c r="C239" s="4" t="str">
        <f t="shared" si="18"/>
        <v>110101020001</v>
      </c>
      <c r="D239" s="4">
        <v>107</v>
      </c>
      <c r="E239" s="4" t="s">
        <v>132</v>
      </c>
      <c r="F239" s="4" t="s">
        <v>525</v>
      </c>
      <c r="G239" s="4" t="str">
        <f>"2012MR2B1D28"</f>
        <v>2012MR2B1D28</v>
      </c>
      <c r="H239" s="4" t="str">
        <f t="shared" si="19"/>
        <v>K235</v>
      </c>
      <c r="I239" s="4" t="str">
        <f t="shared" si="20"/>
        <v>LOGITECH</v>
      </c>
      <c r="J239" s="4"/>
      <c r="K239" s="4"/>
      <c r="L239" s="9">
        <v>25.5</v>
      </c>
      <c r="M239" s="4"/>
      <c r="N239" s="4" t="s">
        <v>233</v>
      </c>
      <c r="O239" s="4" t="s">
        <v>255</v>
      </c>
      <c r="P239" s="4" t="s">
        <v>527</v>
      </c>
      <c r="Q239" s="4" t="s">
        <v>54</v>
      </c>
      <c r="R239" s="4" t="s">
        <v>55</v>
      </c>
      <c r="S239" s="4" t="s">
        <v>56</v>
      </c>
      <c r="T239" s="4">
        <v>6</v>
      </c>
      <c r="U239" s="4" t="s">
        <v>57</v>
      </c>
      <c r="V239" s="4">
        <v>97459</v>
      </c>
      <c r="W239" s="4" t="s">
        <v>58</v>
      </c>
      <c r="X239" s="4">
        <v>1717662512</v>
      </c>
      <c r="Y239" s="4" t="s">
        <v>71</v>
      </c>
      <c r="Z239" s="4" t="s">
        <v>55</v>
      </c>
      <c r="AA239" s="4" t="s">
        <v>116</v>
      </c>
      <c r="AB239" s="4" t="s">
        <v>61</v>
      </c>
      <c r="AC239" s="4" t="s">
        <v>73</v>
      </c>
      <c r="AD239" s="4" t="s">
        <v>62</v>
      </c>
      <c r="AE239" s="4" t="s">
        <v>55</v>
      </c>
      <c r="AF239" s="4" t="s">
        <v>55</v>
      </c>
      <c r="AG239" s="4" t="s">
        <v>550</v>
      </c>
      <c r="AH239" s="4">
        <v>0</v>
      </c>
      <c r="AI239" s="4" t="s">
        <v>529</v>
      </c>
      <c r="AJ239" s="4" t="s">
        <v>55</v>
      </c>
      <c r="AK239" s="5">
        <v>45980</v>
      </c>
      <c r="AL239" s="6">
        <v>45980</v>
      </c>
      <c r="AM239" s="6">
        <v>46081</v>
      </c>
      <c r="AN239" s="4">
        <v>1</v>
      </c>
      <c r="AO239" s="6">
        <v>46344</v>
      </c>
      <c r="AP239" s="9">
        <v>25.5</v>
      </c>
      <c r="AQ239" s="9">
        <v>2.5499999999999998</v>
      </c>
      <c r="AR239" s="9">
        <v>19.09</v>
      </c>
      <c r="AS239" s="9">
        <v>6.41</v>
      </c>
      <c r="AT239" s="4" t="s">
        <v>49</v>
      </c>
    </row>
  </sheetData>
  <autoFilter ref="A2:AT239" xr:uid="{F18D25F3-6D36-4B04-998C-EA1B2D804CF3}">
    <filterColumn colId="32">
      <filters>
        <filter val="DONACION CAMARA POR PARTE DE UNHCR ACNUR CONFORME ACTA DE DONACIÓN SUSCRITA SERIE 302073006547, MODELO REBEL SL3 MARCA CANON"/>
        <filter val="DONACION CELULAR POR PARTE DE UNHCR ACNUR CONFORME ACTA DE DONACIÓN SUSCRITA SERIE 860685051710942, MODELO X3, MARCA POCO"/>
        <filter val="DONACION CELULAR POR PARTE DE UNHCR ACNUR CONFORME ACTA DE DONACIÓN SUSCRITA SERIE 860685051745625, MODELO X3, MARCA POCO"/>
        <filter val="DONACION CELULAR POR PARTE DE UNHCR ACNUR CONFORME ACTA DE DONACIÓN SUSCRITA SERIE 860793056337560, MODELO X3, MARCA POCO"/>
        <filter val="DONACION CELULAR POR PARTE DE UNHCR ACNUR CONFORME ACTA DE DONACIÓN SUSCRITA SERIE 865086053575323, MODELO X3, MARCA POCO"/>
        <filter val="DONACION CELULAR POR PARTE DE UNHCR ACNUR CONFORME ACTA DE DONACIÓN SUSCRITA SERIE 868671056268567, MODELO X3, MARCA POCO"/>
        <filter val="DONACION CELULAR POR PARTE DE UNHCR ACNUR CONFORME ACTA DE DONACIÓN SUSCRITA SERIE 868671056270647, MODELO X3, MARCA POCO"/>
        <filter val="DONACION COMBO TECLADO Y MOUSE INALAMBRICOS POR PARTE DE UNHCR ACNUR CONFORME ACTA DE DONACIÓN SUSCRITA SERIE 2010MR364F58 , MODELO K235 MARCA LOGITECH"/>
        <filter val="DONACION COMBO TECLADO Y MOUSE INALAMBRICOS POR PARTE DE UNHCR ACNUR CONFORME ACTA DE DONACIÓN SUSCRITA SERIE 2010MR368738, MODELO K235 MARCA LOGITECH"/>
        <filter val="DONACION COMBO TECLADO Y MOUSE INALAMBRICOS POR PARTE DE UNHCR ACNUR CONFORME ACTA DE DONACIÓN SUSCRITA SERIE 2010MR368ED8, MODELO K235 MARCA LOGITECH"/>
        <filter val="DONACION COMBO TECLADO Y MOUSE INALAMBRICOS POR PARTE DE UNHCR ACNUR CONFORME ACTA DE DONACIÓN SUSCRITA SERIE 2010MR369968 , MODELO K235 MARCA LOGITECH"/>
        <filter val="DONACION COMBO TECLADO Y MOUSE INALAMBRICOS POR PARTE DE UNHCR ACNUR CONFORME ACTA DE DONACIÓN SUSCRITA SERIE 2012MR2B1B88, MODELO K235 MARCA LOGITECH"/>
        <filter val="DONACION COMBO TECLADO Y MOUSE INALAMBRICOS POR PARTE DE UNHCR ACNUR CONFORME ACTA DE DONACIÓN SUSCRITA SERIE 2012MR2B1D28, MODELO K235 MARCA LOGITECH"/>
        <filter val="DONACION COMBO TECLADO Y MOUSE INALAMBRICOS POR PARTE DE UNHCR ACNUR CONFORME ACTA DE DONACIÓN SUSCRITA SERIE 2012MR2B1D48, MODELO K235 MARCA LOGITECH"/>
        <filter val="DONACION COMBO TECLADO Y MOUSE INALAMBRICOS POR PARTE DE UNHCR ACNUR CONFORME ACTA DE DONACIÓN SUSCRITA SERIE 2012MR2B1E08, MODELO K235 MARCA LOGITECH"/>
        <filter val="DONACION COMBO TECLADO Y MOUSE INALAMBRICOS POR PARTE DE UNHCR ACNUR CONFORME ACTA DE DONACIÓN SUSCRITA SERIE 2012MR2B1E18, MODELO K235 MARCA LOGITECH"/>
        <filter val="DONACION COMBO TECLADO Y MOUSE INALAMBRICOS POR PARTE DE UNHCR ACNUR CONFORME ACTA DE DONACIÓN SUSCRITA SERIE 2012MR2B48F8, MODELO K235 MARCA LOGITECH"/>
        <filter val="DONACION COMBO TECLADO Y MOUSE INALAMBRICOS POR PARTE DE UNHCR ACNUR CONFORME ACTA DE DONACIÓN SUSCRITA SERIE 2025MR1C8C78, MODELO K235 MARCA LOGITECH"/>
        <filter val="DONACION COMBO TECLADO Y MOUSE INALAMBRICOS POR PARTE DE UNHCR ACNUR CONFORME ACTA DE DONACIÓN SUSCRITA SERIE 2025MR1C8DB8, MODELO K235 MARCA LOGITECH"/>
        <filter val="DONACION COMBO TECLADO Y MOUSE INALAMBRICOS POR PARTE DE UNHCR ACNUR CONFORME ACTA DE DONACIÓN SUSCRITA SERIE 2025MR1C8DD8, MODELO K235 MARCA LOGITECH"/>
        <filter val="DONACION COMBO TECLADO Y MOUSE INALAMBRICOS POR PARTE DE UNHCR ACNUR CONFORME ACTA DE DONACIÓN SUSCRITA SERIE 2025MR1C9438, MODELO K235 MARCA LOGITECH"/>
        <filter val="DONACION COMBO TECLADO Y MOUSE INALAMBRICOS POR PARTE DE UNHCR ACNUR CONFORME ACTA DE DONACIÓN SUSCRITA SERIE 2025MR1C9458, MODELO K235 MARCA LOGITECH"/>
        <filter val="DONACION COMBO TECLADO Y MOUSE INALAMBRICOS POR PARTE DE UNHCR ACNUR CONFORME ACTA DE DONACIÓN SUSCRITA SERIE 2025MR1C95F8 , MODELO K235 MARCA LOGITECH"/>
        <filter val="DONACION COMBO TECLADO Y MOUSE INALAMBRICOS POR PARTE DE UNHCR ACNUR CONFORME ACTA DE DONACIÓN SUSCRITA SERIE 2025MR1C9628, MODELO K235 MARCA LOGITECH"/>
        <filter val="DONACION COMBO TECLADO Y MOUSE INALAMBRICOS POR PARTE DE UNHCR ACNUR CONFORME ACTA DE DONACIÓN SUSCRITA SERIE 2056MR1C8D38, MODELO K235 MARCA LOGITECH"/>
        <filter val="DONACIÓN DE COMPUTADORAS PORTÁTILES POR PARTE DE GIZ ACTA SUSCRITA DE 22 DE DICIEMBRE DE 2023 Y RECEPCIÓN MEDIANTE CORREO ELECTRÓNICO DE FACTURA NRO 001011000011495 FECHA 17 NOV 21 Y 000012026 FECHA 5 ABRIL 22"/>
        <filter val="DONACION DE EQUIPO DE VIDEOCONFERENCIA DE MARCA CISCO ROOM KIT MINI Y MODELO CS-KIT-MINI-K9 POR PARTE DE LA OFICINA DEL ALTO COMISIONADO DE LAS NACIONES UNIDAS PARA LOS REFUGIADOS - ACNUR"/>
        <filter val="DONACION DE UN BIOMETRICO ZK TECO MODELO K50 POR PARTE DE CLS ELECTRONICS"/>
        <filter val="DONACION LAPTOP (INCLUYE CARGADOR DELL NO INCLUYE DISCO DURO) POR PARTE DE OIM CONFORME ACTA DE DONACIÓN SUSCRITA SERIE 1B6ZGS3, MODELO LATITUDE 3520, MARCA DELL"/>
        <filter val="DONACION LAPTOP (INCLUYE CARGADOR DELL NO INCLUYE DISCO DURO) POR PARTE DE OIM CONFORME ACTA DE DONACIÓN SUSCRITA SERIE 1CD4CS3, MODELO LATITUDE 3520, MARCA DELL"/>
        <filter val="DONACION LAPTOP (INCLUYE CARGADOR DELL NO INCLUYE DISCO DURO) POR PARTE DE OIM CONFORME ACTA DE DONACIÓN SUSCRITA SERIE 5TD4CS3, MODELO LATITUDE 3520, MARCA DELL"/>
        <filter val="DONACION LAPTOP (INCLUYE CARGADOR DELL NO INCLUYE DISCO DURO) POR PARTE DE OIM CONFORME ACTA DE DONACIÓN SUSCRITA SERIE B5D4CS3, MODELO LATITUDE3520, MARCA DELL"/>
        <filter val="DONACION LAPTOP (INCLUYE CARGADOR DELL NO INCLUYE DISCO DURO) POR PARTE DE OIM CONFORME ACTA DE DONACIÓN SUSCRITA SERIE CBD4CS3, MODELO LATITUDE 3520, MARCA DELL"/>
        <filter val="DONACION LAPTOP (INCLUYE CARGADOR DELL NO INCLUYE DISCO DURO) POR PARTE DE OIM CONFORME ACTA DE DONACIÓN SUSCRITA SERIE D66ZGS3, MODELO LATITUDE 3520, MARCA DELL"/>
        <filter val="DONACION LAPTOP (INCLUYE CARGADOR DELL NO INCLUYE DISCO DURO) POR PARTE DE OIM CONFORME ACTA DE DONACIÓN SUSCRITA SERIE DBD4CS3, MODELO LATITUDE 3520, MARCA DELL"/>
        <filter val="DONACION LAPTOP (INCLUYE CARGADOR DELL NO INCLUYE DISCO DURO) POR PARTE DE OIM CONFORME ACTA DE DONACIÓN SUSCRITA SERIE F2F4CS3, MODELO LATITUDE 3520, MARCA DELL"/>
        <filter val="DONACION LAPTOP (INCLUYE CARGADOR DELL NO INCLUYE DISCO DURO) POR PARTE DE OIM CONFORME ACTA DE DONACIÓN SUSCRITA SERIE FJF4CS3, MODELO LATITUDE 3520, MARCA DELL"/>
        <filter val="DONACION LAPTOP (INCLUYE CARGADOR DELL NO INCLUYE DISCO DURO) POR PARTE DE OIM CONFORME ACTA DE DONACIÓN SUSCRITA SERIE FKF4CS3, MODELO LATITUDE 3520, MARCA DELL"/>
        <filter val="DONACION LAPTOP POR PARTE DE UNHCR ACNUR CONFORME ACTA DE DONACIÓN SUSCRITA SERIE PC1A0XKT, MODELO THINKPAD T490, MARCA LENOVO"/>
        <filter val="DONACION LAPTOP POR PARTE DE UNHCR ACNUR CONFORME ACTA DE DONACIÓN SUSCRITA SERIE PC1A0XKX, MODELO THINKPAD T490, MARCA LENOVO"/>
        <filter val="DONACION LAPTOP POR PARTE DE UNHCR ACNUR CONFORME ACTA DE DONACIÓN SUSCRITA SERIE PC1A0XLE, MODELO THINKPAD T490, MARCA LENOVO"/>
        <filter val="DONACION LAPTOP POR PARTE DE UNHCR ACNUR CONFORME ACTA DE DONACIÓN SUSCRITA SERIE PC1FST1V, MODELO THINKPAD T490, MARCA LENOVO"/>
        <filter val="DONACION LAPTOP POR PARTE DE UNHCR ACNUR CONFORME ACTA DE DONACIÓN SUSCRITA SERIE SPC18G353, MODELO THINKPAD T490, MARCA LENOVO"/>
        <filter val="DONACION LAPTOP POR PARTE DE UNHCR ACNUR CONFORME ACTA DE DONACIÓN SUSCRITA SERIE SPC1EWQVW, MODELO THINKPAD T490, MARCA LENOVO"/>
        <filter val="DONACION LAPTOP POR PARTE DE UNHCR ACNUR CONFORME ACTA DE DONACIÓN SUSCRITA SERIE SPC1EWQVZ, MODELO THINKPAD T490, MARCA LENOVO"/>
        <filter val="DONACION LAPTOP POR PARTE DE UNHCR ACNUR CONFORME ACTA DE DONACIÓN SUSCRITA SERIE SPC1EWQWA, MODELO THINKPAD T490, MARCA LENOVO"/>
        <filter val="DONACION LAPTOP POR PARTE DE UNHCR ACNUR CONFORME ACTA DE DONACIÓN SUSCRITA SERIE SPC1EWQWL, MODELO THINKPAD T490, MARCA LENOVO"/>
        <filter val="DONACION LAPTOP POR PARTE DE UNHCR ACNUR CONFORME ACTA DE DONACIÓN SUSCRITA SERIE SPC1EWQWS, MODELO THINKPAD T490, MARCA LENOVO"/>
        <filter val="DONACION MICROFONO INALAMBRICO POR PARTE DE UNHCR ACNUR CONFORME ACTA DE DONACIÓN SUSCRITA SERIE S/N, MODELO BY-WM4 PRO MARCA BOYA"/>
        <filter val="DONACION MICROFONO POR PARTE DE UNHCR ACNUR CONFORME ACTA DE DONACIÓN SUSCRITA SERIE BY2009860280, MODELO LAVALIER BY-M1 MARCA BOYA"/>
        <filter val="DONACION MICROFONO POR PARTE DE UNHCR ACNUR CONFORME ACTA DE DONACIÓN SUSCRITA SERIE BY2009864595, MODELO LAVALIER BY-M1 MARCA BOYA"/>
        <filter val="DONACION MONITOR POR PARTE DE UNHCR ACNUR CONFORME ACTA DE DONACIÓN SUSCRITA SERIE 1D7134, MODELO BLACKWIRE 3220-C3220 USB-A MARCA PLANTRONICS"/>
        <filter val="DONACION MONITOR POR PARTE DE UNHCR ACNUR CONFORME ACTA DE DONACIÓN SUSCRITA SERIE 2229ER, MODELO BLACKWIRE 3220-C3220 USB-A MARCA PLANTRONICS"/>
        <filter val="DONACION MONITOR POR PARTE DE UNHCR ACNUR CONFORME ACTA DE DONACIÓN SUSCRITA SERIE 2229F3, MODELO BLACKWIRE 3220-C3220 USB-A MARCA PLANTRONICS"/>
        <filter val="DONACION MONITOR POR PARTE DE UNHCR ACNUR CONFORME ACTA DE DONACIÓN SUSCRITA SERIE 22339X, MODELO BLACKWIRE 3220-C3220 USB-A MARCA PLANTRONICS"/>
        <filter val="DONACION MONITOR POR PARTE DE UNHCR ACNUR CONFORME ACTA DE DONACIÓN SUSCRITA SERIE 28K11E, MODELO BLACKWIRE 3220-C3220 USB-A MARCA PLANTRONICS"/>
        <filter val="DONACION MONITOR POR PARTE DE UNHCR ACNUR CONFORME ACTA DE DONACIÓN SUSCRITA SERIE 2F7MHJ, MODELO BLACKWIRE 3220-C3220 USB-A MARCA PLANTRONICS"/>
        <filter val="DONACION MONITOR POR PARTE DE UNHCR ACNUR CONFORME ACTA DE DONACIÓN SUSCRITA SERIE 2F7PJV, MODELO BLACKWIRE 3220-C3220 USB-A MARCA PLANTRONICS"/>
        <filter val="DONACION MONITOR POR PARTE DE UNHCR ACNUR CONFORME ACTA DE DONACIÓN SUSCRITA SERIE 2M80Y3, MODELO BLACKWIRE 3220-C3220 USB-A MARCA PLANTRONICS"/>
        <filter val="DONACION MONITOR POR PARTE DE UNHCR ACNUR CONFORME ACTA DE DONACIÓN SUSCRITA SERIE 2RAPCU, MODELO BLACKWIRE 3220-C3220 USB-A MARCA PLANTRONICS"/>
        <filter val="DONACION MONITOR POR PARTE DE UNHCR ACNUR CONFORME ACTA DE DONACIÓN SUSCRITA SERIE 2U4TBN, MODELO BLACKWIRE 3220-C3220 USB-A MARCA PLANTRONICS"/>
        <filter val="DONACION MONITOR POR PARTE DE UNHCR ACNUR CONFORME ACTA DE DONACIÓN SUSCRITA SERIE 2U5LGE, MODELO BLACKWIRE 3220-C3220 USB-A MARCA PLANTRONICS"/>
        <filter val="DONACION MONITOR POR PARTE DE UNHCR ACNUR CONFORME ACTA DE DONACIÓN SUSCRITA SERIE 2V1G2L, MODELO BLACKWIRE 3220-C3220 USB-A MARCA PLANTRONICS"/>
        <filter val="DONACION MONITOR POR PARTE DE UNHCR ACNUR CONFORME ACTA DE DONACIÓN SUSCRITA SERIE 2V1H5U, MODELO BLACKWIRE 3220-C3220 USB-A MARCA PLANTRONICS"/>
        <filter val="DONACION MONITOR POR PARTE DE UNHCR ACNUR CONFORME ACTA DE DONACIÓN SUSCRITA SERIE 2V1H5V, MODELO BLACKWIRE 3220-C3220 USB-A MARCA PLANTRONICS"/>
        <filter val="DONACION MONITOR POR PARTE DE UNHCR ACNUR CONFORME ACTA DE DONACIÓN SUSCRITA SERIE 2XAL1E, MODELO BLACKWIRE 3220-C3220 USB-A MARCA PLANTRONICS"/>
        <filter val="DONACION MONITOR POR PARTE DE UNHCR ACNUR CONFORME ACTA DE DONACIÓN SUSCRITA SERIE 2XAL5V, MODELO BLACKWIRE 3220-C3220 USB-A MARCA PLANTRONICS"/>
        <filter val="DONACION MONITOR POR PARTE DE UNHCR ACNUR CONFORME ACTA DE DONACIÓN SUSCRITA SERIE 2XAL6Y, MODELO BLACKWIRE 3220-C3220 USB-A MARCA PLANTRONICS"/>
        <filter val="DONACION MONITOR POR PARTE DE UNHCR ACNUR CONFORME ACTA DE DONACIÓN SUSCRITA SERIE 2XAL7B, MODELO BLACKWIRE 3220-C3220 USB-A MARCA PLANTRONICS"/>
        <filter val="DONACION MONITOR POR PARTE DE UNHCR ACNUR CONFORME ACTA DE DONACIÓN SUSCRITA SERIE CNC9192T5N, MODELO ELITEDISPLAY E243D 23,8 MARCA HP"/>
        <filter val="DONACION MONITOR POR PARTE DE UNHCR ACNUR CONFORME ACTA DE DONACIÓN SUSCRITA SERIE CNC9192T60, MODELO ELITEDISPLAY E243D 23,8 MARCA HP"/>
        <filter val="DONACION MONITOR POR PARTE DE UNHCR ACNUR CONFORME ACTA DE DONACIÓN SUSCRITA SERIE CNC9192T80, MODELO ELITEDISPLAY E243D 23,8 MARCA HP"/>
        <filter val="DONACION MONITOR POR PARTE DE UNHCR ACNUR CONFORME ACTA DE DONACIÓN SUSCRITA SERIE CNC9192T95, MODELO ELITEDISPLAY E243D 23,8 MARCA HP"/>
        <filter val="DONACION MONITOR POR PARTE DE UNHCR ACNUR CONFORME ACTA DE DONACIÓN SUSCRITA SERIE CNC9192TFD, MODELO ELITEDISPLAY E243D 23,8 MARCA HP"/>
        <filter val="DONACION MONITOR POR PARTE DE UNHCR ACNUR CONFORME ACTA DE DONACIÓN SUSCRITA SERIE CNC9192TFF , MODELO ELITEDISPLAY E243D 23,8 MARCA HP"/>
        <filter val="DONACION MONITOR POR PARTE DE UNHCR ACNUR CONFORME ACTA DE DONACIÓN SUSCRITA SERIE CNC9192TFN, MODELO ELITEDISPLAY E243D 23,8 MARCA HP"/>
        <filter val="DONACION MONITOR POR PARTE DE UNHCR ACNUR CONFORME ACTA DE DONACIÓN SUSCRITA SERIE CNC9192TFP, MODELO ELITEDISPLAY E243D 23,8 MARCA HP"/>
        <filter val="DONACION MONITOR POR PARTE DE UNHCR ACNUR CONFORME ACTA DE DONACIÓN SUSCRITA SERIE CNC9192TFR, MODELO ELITEDISPLAY E243D 23,8 MARCA HP"/>
        <filter val="DONACION MONITOR POR PARTE DE UNHCR ACNUR CONFORME ACTA DE DONACIÓN SUSCRITA SERIE CNC9341TDK, MODELO ELITEDISPLAY E243D 23,8 MARCA HP"/>
        <filter val="DONACION MONITOR POR PARTE DE UNHCR ACNUR CONFORME ACTA DE DONACIÓN SUSCRITA SERIE CNC9341VD6, MODELO ELITEDISPLAY E243D 23,8 MARCA HP"/>
        <filter val="DONACION MONITOR POR PARTE DE UNHCR ACNUR CONFORME ACTA DE DONACIÓN SUSCRITA SERIE CNC9341VDC, MODELO ELITEDISPLAY E243D 23,8 MARCA HP"/>
        <filter val="DONACION MONITOR POR PARTE DE UNHCR ACNUR CONFORME ACTA DE DONACIÓN SUSCRITA SERIE CNC9341VDG, MODELO ELITEDISPLAY E243D 23,8 MARCA HP"/>
        <filter val="DONACION MONITOR POR PARTE DE UNHCR ACNUR CONFORME ACTA DE DONACIÓN SUSCRITA SERIE CNC9341VDR, MODELO ELITEDISPLAY E243D 23,8 MARCA HP"/>
        <filter val="DONACION MONITOR POR PARTE DE UNHCR ACNUR CONFORME ACTA DE DONACIÓN SUSCRITA SERIE CNC9341VDV, MODELO ELITEDISPLAY E243D 23,8 MARCA HP"/>
        <filter val="DONACION MONITOR POR PARTE DE UNHCR ACNUR CONFORME ACTA DE DONACIÓN SUSCRITA SERIE CNC9341VF0, MODELO ELITEDISPLAY E243D 23,8 MARCA HP"/>
        <filter val="DONACION MONITOR POR PARTE DE UNHCR ACNUR CONFORME ACTA DE DONACIÓN SUSCRITA SERIE CNC9341W6T, MODELO ELITEDISPLAY E243D 23,8 MARCA HP"/>
        <filter val="DONACION MONITOR POR PARTE DE UNHCR ACNUR CONFORME ACTA DE DONACIÓN SUSCRITA SERIE CNC9341W6W, MODELO ELITEDISPLAY E243D 23,8 MARCA HP"/>
        <filter val="DONACION TRIPODE POR PARTE DE UNHCR ACNUR CONFORME ACTA DE DONACIÓN SUSCRITA SERIE S/N, MODELO 6662A MARCA WEIFENG"/>
      </filters>
    </filterColumn>
    <filterColumn colId="37">
      <filters>
        <dateGroupItem year="2025" dateTimeGrouping="year"/>
      </filters>
    </filterColumn>
  </autoFilter>
  <mergeCells count="1">
    <mergeCell ref="A1:F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31407-A734-47D8-9A91-668C6A047BD9}">
  <dimension ref="A1:S87"/>
  <sheetViews>
    <sheetView tabSelected="1" workbookViewId="0">
      <selection activeCell="T3" sqref="T3"/>
    </sheetView>
  </sheetViews>
  <sheetFormatPr baseColWidth="10" defaultRowHeight="15" x14ac:dyDescent="0.25"/>
  <cols>
    <col min="9" max="10" width="0" hidden="1" customWidth="1"/>
    <col min="16" max="19" width="0" hidden="1" customWidth="1"/>
  </cols>
  <sheetData>
    <row r="1" spans="1:19" ht="15.75" x14ac:dyDescent="0.25">
      <c r="A1" s="17" t="s">
        <v>0</v>
      </c>
      <c r="B1" s="18"/>
      <c r="C1" s="19"/>
      <c r="D1" s="7"/>
      <c r="E1" s="7"/>
      <c r="F1" s="7"/>
      <c r="G1" s="7"/>
      <c r="H1" s="7"/>
      <c r="I1" s="7"/>
      <c r="J1" s="7"/>
      <c r="K1" s="7"/>
      <c r="L1" s="7"/>
      <c r="M1" s="7"/>
      <c r="N1" s="7"/>
      <c r="O1" s="7"/>
      <c r="P1" s="7"/>
      <c r="Q1" s="7"/>
      <c r="R1" s="7"/>
      <c r="S1" s="8"/>
    </row>
    <row r="2" spans="1:19" ht="60" x14ac:dyDescent="0.25">
      <c r="A2" s="14" t="s">
        <v>1</v>
      </c>
      <c r="B2" s="14" t="s">
        <v>5</v>
      </c>
      <c r="C2" s="14" t="s">
        <v>6</v>
      </c>
      <c r="D2" s="14" t="s">
        <v>7</v>
      </c>
      <c r="E2" s="14" t="s">
        <v>8</v>
      </c>
      <c r="F2" s="14" t="s">
        <v>9</v>
      </c>
      <c r="G2" s="14" t="s">
        <v>12</v>
      </c>
      <c r="H2" s="14" t="s">
        <v>14</v>
      </c>
      <c r="I2" s="14" t="s">
        <v>15</v>
      </c>
      <c r="J2" s="14" t="s">
        <v>16</v>
      </c>
      <c r="K2" s="14" t="s">
        <v>17</v>
      </c>
      <c r="L2" s="14" t="s">
        <v>27</v>
      </c>
      <c r="M2" s="14" t="s">
        <v>28</v>
      </c>
      <c r="N2" s="14" t="s">
        <v>35</v>
      </c>
      <c r="O2" s="14" t="s">
        <v>42</v>
      </c>
      <c r="P2" s="14" t="s">
        <v>43</v>
      </c>
      <c r="Q2" s="14" t="s">
        <v>44</v>
      </c>
      <c r="R2" s="14" t="s">
        <v>45</v>
      </c>
      <c r="S2" s="14" t="s">
        <v>46</v>
      </c>
    </row>
    <row r="3" spans="1:19" ht="90" x14ac:dyDescent="0.25">
      <c r="A3" s="15">
        <v>40589932</v>
      </c>
      <c r="B3" s="15" t="s">
        <v>47</v>
      </c>
      <c r="C3" s="15" t="s">
        <v>111</v>
      </c>
      <c r="D3" s="15" t="s">
        <v>554</v>
      </c>
      <c r="E3" s="15" t="s">
        <v>555</v>
      </c>
      <c r="F3" s="15" t="s">
        <v>556</v>
      </c>
      <c r="G3" s="16">
        <v>55.55</v>
      </c>
      <c r="H3" s="15" t="s">
        <v>113</v>
      </c>
      <c r="I3" s="15" t="s">
        <v>114</v>
      </c>
      <c r="J3" s="15" t="s">
        <v>115</v>
      </c>
      <c r="K3" s="15" t="s">
        <v>54</v>
      </c>
      <c r="L3" s="15" t="s">
        <v>116</v>
      </c>
      <c r="M3" s="15" t="s">
        <v>61</v>
      </c>
      <c r="N3" s="15" t="s">
        <v>64</v>
      </c>
      <c r="O3" s="16">
        <v>55.55</v>
      </c>
      <c r="P3" s="16">
        <v>0</v>
      </c>
      <c r="Q3" s="16">
        <v>55.55</v>
      </c>
      <c r="R3" s="16">
        <v>0</v>
      </c>
      <c r="S3" s="15" t="s">
        <v>49</v>
      </c>
    </row>
    <row r="4" spans="1:19" ht="75" x14ac:dyDescent="0.25">
      <c r="A4" s="15">
        <v>40590659</v>
      </c>
      <c r="B4" s="15" t="s">
        <v>47</v>
      </c>
      <c r="C4" s="15" t="s">
        <v>118</v>
      </c>
      <c r="D4" s="15" t="s">
        <v>557</v>
      </c>
      <c r="E4" s="15" t="s">
        <v>558</v>
      </c>
      <c r="F4" s="15" t="s">
        <v>559</v>
      </c>
      <c r="G4" s="16">
        <v>138</v>
      </c>
      <c r="H4" s="15" t="s">
        <v>113</v>
      </c>
      <c r="I4" s="15" t="s">
        <v>114</v>
      </c>
      <c r="J4" s="15" t="s">
        <v>119</v>
      </c>
      <c r="K4" s="15" t="s">
        <v>54</v>
      </c>
      <c r="L4" s="15" t="s">
        <v>116</v>
      </c>
      <c r="M4" s="15" t="s">
        <v>61</v>
      </c>
      <c r="N4" s="15" t="s">
        <v>64</v>
      </c>
      <c r="O4" s="16">
        <v>138</v>
      </c>
      <c r="P4" s="16">
        <v>0</v>
      </c>
      <c r="Q4" s="16">
        <v>138</v>
      </c>
      <c r="R4" s="16">
        <v>0</v>
      </c>
      <c r="S4" s="15" t="s">
        <v>49</v>
      </c>
    </row>
    <row r="5" spans="1:19" ht="75" x14ac:dyDescent="0.25">
      <c r="A5" s="15">
        <v>40589956</v>
      </c>
      <c r="B5" s="15" t="s">
        <v>47</v>
      </c>
      <c r="C5" s="15" t="s">
        <v>118</v>
      </c>
      <c r="D5" s="15" t="s">
        <v>560</v>
      </c>
      <c r="E5" s="15" t="s">
        <v>561</v>
      </c>
      <c r="F5" s="15" t="s">
        <v>559</v>
      </c>
      <c r="G5" s="16">
        <v>33</v>
      </c>
      <c r="H5" s="15" t="s">
        <v>113</v>
      </c>
      <c r="I5" s="15" t="s">
        <v>114</v>
      </c>
      <c r="J5" s="15" t="s">
        <v>121</v>
      </c>
      <c r="K5" s="15" t="s">
        <v>54</v>
      </c>
      <c r="L5" s="15" t="s">
        <v>116</v>
      </c>
      <c r="M5" s="15" t="s">
        <v>61</v>
      </c>
      <c r="N5" s="15" t="s">
        <v>64</v>
      </c>
      <c r="O5" s="16">
        <v>33</v>
      </c>
      <c r="P5" s="16">
        <v>0</v>
      </c>
      <c r="Q5" s="16">
        <v>33</v>
      </c>
      <c r="R5" s="16">
        <v>0</v>
      </c>
      <c r="S5" s="15" t="s">
        <v>49</v>
      </c>
    </row>
    <row r="6" spans="1:19" ht="75" x14ac:dyDescent="0.25">
      <c r="A6" s="15">
        <v>40589960</v>
      </c>
      <c r="B6" s="15" t="s">
        <v>47</v>
      </c>
      <c r="C6" s="15" t="s">
        <v>118</v>
      </c>
      <c r="D6" s="15" t="s">
        <v>562</v>
      </c>
      <c r="E6" s="15" t="s">
        <v>561</v>
      </c>
      <c r="F6" s="15" t="s">
        <v>559</v>
      </c>
      <c r="G6" s="16">
        <v>33</v>
      </c>
      <c r="H6" s="15" t="s">
        <v>113</v>
      </c>
      <c r="I6" s="15" t="s">
        <v>114</v>
      </c>
      <c r="J6" s="15" t="s">
        <v>121</v>
      </c>
      <c r="K6" s="15" t="s">
        <v>54</v>
      </c>
      <c r="L6" s="15" t="s">
        <v>116</v>
      </c>
      <c r="M6" s="15" t="s">
        <v>61</v>
      </c>
      <c r="N6" s="15" t="s">
        <v>64</v>
      </c>
      <c r="O6" s="16">
        <v>33</v>
      </c>
      <c r="P6" s="16">
        <v>0</v>
      </c>
      <c r="Q6" s="16">
        <v>33</v>
      </c>
      <c r="R6" s="16">
        <v>0</v>
      </c>
      <c r="S6" s="15" t="s">
        <v>49</v>
      </c>
    </row>
    <row r="7" spans="1:19" ht="120" x14ac:dyDescent="0.25">
      <c r="A7" s="15">
        <v>40589867</v>
      </c>
      <c r="B7" s="15" t="s">
        <v>47</v>
      </c>
      <c r="C7" s="15" t="s">
        <v>124</v>
      </c>
      <c r="D7" s="15" t="s">
        <v>563</v>
      </c>
      <c r="E7" s="15" t="s">
        <v>564</v>
      </c>
      <c r="F7" s="15" t="s">
        <v>565</v>
      </c>
      <c r="G7" s="16">
        <v>900</v>
      </c>
      <c r="H7" s="15" t="s">
        <v>113</v>
      </c>
      <c r="I7" s="15" t="s">
        <v>114</v>
      </c>
      <c r="J7" s="15" t="s">
        <v>125</v>
      </c>
      <c r="K7" s="15" t="s">
        <v>54</v>
      </c>
      <c r="L7" s="15" t="s">
        <v>116</v>
      </c>
      <c r="M7" s="15" t="s">
        <v>61</v>
      </c>
      <c r="N7" s="15" t="s">
        <v>64</v>
      </c>
      <c r="O7" s="16">
        <v>900</v>
      </c>
      <c r="P7" s="16">
        <v>0</v>
      </c>
      <c r="Q7" s="16">
        <v>900</v>
      </c>
      <c r="R7" s="16">
        <v>0</v>
      </c>
      <c r="S7" s="15" t="s">
        <v>49</v>
      </c>
    </row>
    <row r="8" spans="1:19" ht="120" x14ac:dyDescent="0.25">
      <c r="A8" s="15">
        <v>40577385</v>
      </c>
      <c r="B8" s="15" t="s">
        <v>132</v>
      </c>
      <c r="C8" s="15" t="s">
        <v>290</v>
      </c>
      <c r="D8" s="15" t="s">
        <v>566</v>
      </c>
      <c r="E8" s="15" t="s">
        <v>567</v>
      </c>
      <c r="F8" s="15" t="s">
        <v>568</v>
      </c>
      <c r="G8" s="16">
        <v>250</v>
      </c>
      <c r="H8" s="15" t="s">
        <v>113</v>
      </c>
      <c r="I8" s="15" t="s">
        <v>291</v>
      </c>
      <c r="J8" s="15" t="s">
        <v>292</v>
      </c>
      <c r="K8" s="15" t="s">
        <v>54</v>
      </c>
      <c r="L8" s="15" t="s">
        <v>116</v>
      </c>
      <c r="M8" s="15" t="s">
        <v>61</v>
      </c>
      <c r="N8" s="15" t="s">
        <v>250</v>
      </c>
      <c r="O8" s="16">
        <v>250</v>
      </c>
      <c r="P8" s="16">
        <v>25</v>
      </c>
      <c r="Q8" s="16">
        <v>179.73</v>
      </c>
      <c r="R8" s="16">
        <v>70.27</v>
      </c>
      <c r="S8" s="15" t="s">
        <v>49</v>
      </c>
    </row>
    <row r="9" spans="1:19" ht="120" x14ac:dyDescent="0.25">
      <c r="A9" s="15">
        <v>40577388</v>
      </c>
      <c r="B9" s="15" t="s">
        <v>132</v>
      </c>
      <c r="C9" s="15" t="s">
        <v>290</v>
      </c>
      <c r="D9" s="15" t="s">
        <v>569</v>
      </c>
      <c r="E9" s="15" t="s">
        <v>567</v>
      </c>
      <c r="F9" s="15" t="s">
        <v>568</v>
      </c>
      <c r="G9" s="16">
        <v>250</v>
      </c>
      <c r="H9" s="15" t="s">
        <v>113</v>
      </c>
      <c r="I9" s="15" t="s">
        <v>291</v>
      </c>
      <c r="J9" s="15" t="s">
        <v>292</v>
      </c>
      <c r="K9" s="15" t="s">
        <v>54</v>
      </c>
      <c r="L9" s="15" t="s">
        <v>116</v>
      </c>
      <c r="M9" s="15" t="s">
        <v>61</v>
      </c>
      <c r="N9" s="15" t="s">
        <v>250</v>
      </c>
      <c r="O9" s="16">
        <v>250</v>
      </c>
      <c r="P9" s="16">
        <v>25</v>
      </c>
      <c r="Q9" s="16">
        <v>179.73</v>
      </c>
      <c r="R9" s="16">
        <v>70.27</v>
      </c>
      <c r="S9" s="15" t="s">
        <v>49</v>
      </c>
    </row>
    <row r="10" spans="1:19" ht="120" x14ac:dyDescent="0.25">
      <c r="A10" s="15">
        <v>40575434</v>
      </c>
      <c r="B10" s="15" t="s">
        <v>132</v>
      </c>
      <c r="C10" s="15" t="s">
        <v>290</v>
      </c>
      <c r="D10" s="15" t="s">
        <v>570</v>
      </c>
      <c r="E10" s="15" t="s">
        <v>567</v>
      </c>
      <c r="F10" s="15" t="s">
        <v>568</v>
      </c>
      <c r="G10" s="16">
        <v>250</v>
      </c>
      <c r="H10" s="15" t="s">
        <v>113</v>
      </c>
      <c r="I10" s="15" t="s">
        <v>291</v>
      </c>
      <c r="J10" s="15" t="s">
        <v>292</v>
      </c>
      <c r="K10" s="15" t="s">
        <v>54</v>
      </c>
      <c r="L10" s="15" t="s">
        <v>116</v>
      </c>
      <c r="M10" s="15" t="s">
        <v>61</v>
      </c>
      <c r="N10" s="15" t="s">
        <v>250</v>
      </c>
      <c r="O10" s="16">
        <v>250</v>
      </c>
      <c r="P10" s="16">
        <v>25</v>
      </c>
      <c r="Q10" s="16">
        <v>179.73</v>
      </c>
      <c r="R10" s="16">
        <v>70.27</v>
      </c>
      <c r="S10" s="15" t="s">
        <v>49</v>
      </c>
    </row>
    <row r="11" spans="1:19" ht="120" x14ac:dyDescent="0.25">
      <c r="A11" s="15">
        <v>40565677</v>
      </c>
      <c r="B11" s="15" t="s">
        <v>132</v>
      </c>
      <c r="C11" s="15" t="s">
        <v>290</v>
      </c>
      <c r="D11" s="15" t="s">
        <v>571</v>
      </c>
      <c r="E11" s="15" t="s">
        <v>567</v>
      </c>
      <c r="F11" s="15" t="s">
        <v>568</v>
      </c>
      <c r="G11" s="16">
        <v>250</v>
      </c>
      <c r="H11" s="15" t="s">
        <v>113</v>
      </c>
      <c r="I11" s="15" t="s">
        <v>291</v>
      </c>
      <c r="J11" s="15" t="s">
        <v>292</v>
      </c>
      <c r="K11" s="15" t="s">
        <v>54</v>
      </c>
      <c r="L11" s="15" t="s">
        <v>116</v>
      </c>
      <c r="M11" s="15" t="s">
        <v>61</v>
      </c>
      <c r="N11" s="15" t="s">
        <v>250</v>
      </c>
      <c r="O11" s="16">
        <v>250</v>
      </c>
      <c r="P11" s="16">
        <v>25</v>
      </c>
      <c r="Q11" s="16">
        <v>179.11</v>
      </c>
      <c r="R11" s="16">
        <v>70.89</v>
      </c>
      <c r="S11" s="15" t="s">
        <v>49</v>
      </c>
    </row>
    <row r="12" spans="1:19" ht="120" x14ac:dyDescent="0.25">
      <c r="A12" s="15">
        <v>40576115</v>
      </c>
      <c r="B12" s="15" t="s">
        <v>132</v>
      </c>
      <c r="C12" s="15" t="s">
        <v>290</v>
      </c>
      <c r="D12" s="15" t="s">
        <v>572</v>
      </c>
      <c r="E12" s="15" t="s">
        <v>567</v>
      </c>
      <c r="F12" s="15" t="s">
        <v>568</v>
      </c>
      <c r="G12" s="16">
        <v>250</v>
      </c>
      <c r="H12" s="15" t="s">
        <v>113</v>
      </c>
      <c r="I12" s="15" t="s">
        <v>291</v>
      </c>
      <c r="J12" s="15" t="s">
        <v>292</v>
      </c>
      <c r="K12" s="15" t="s">
        <v>54</v>
      </c>
      <c r="L12" s="15" t="s">
        <v>116</v>
      </c>
      <c r="M12" s="15" t="s">
        <v>61</v>
      </c>
      <c r="N12" s="15" t="s">
        <v>250</v>
      </c>
      <c r="O12" s="16">
        <v>250</v>
      </c>
      <c r="P12" s="16">
        <v>25</v>
      </c>
      <c r="Q12" s="16">
        <v>179.73</v>
      </c>
      <c r="R12" s="16">
        <v>70.27</v>
      </c>
      <c r="S12" s="15" t="s">
        <v>49</v>
      </c>
    </row>
    <row r="13" spans="1:19" ht="120" x14ac:dyDescent="0.25">
      <c r="A13" s="15">
        <v>40565429</v>
      </c>
      <c r="B13" s="15" t="s">
        <v>132</v>
      </c>
      <c r="C13" s="15" t="s">
        <v>290</v>
      </c>
      <c r="D13" s="15" t="s">
        <v>573</v>
      </c>
      <c r="E13" s="15" t="s">
        <v>567</v>
      </c>
      <c r="F13" s="15" t="s">
        <v>568</v>
      </c>
      <c r="G13" s="16">
        <v>250</v>
      </c>
      <c r="H13" s="15" t="s">
        <v>113</v>
      </c>
      <c r="I13" s="15" t="s">
        <v>291</v>
      </c>
      <c r="J13" s="15" t="s">
        <v>292</v>
      </c>
      <c r="K13" s="15" t="s">
        <v>54</v>
      </c>
      <c r="L13" s="15" t="s">
        <v>116</v>
      </c>
      <c r="M13" s="15" t="s">
        <v>61</v>
      </c>
      <c r="N13" s="15" t="s">
        <v>250</v>
      </c>
      <c r="O13" s="16">
        <v>250</v>
      </c>
      <c r="P13" s="16">
        <v>25</v>
      </c>
      <c r="Q13" s="16">
        <v>179.11</v>
      </c>
      <c r="R13" s="16">
        <v>70.89</v>
      </c>
      <c r="S13" s="15" t="s">
        <v>49</v>
      </c>
    </row>
    <row r="14" spans="1:19" ht="75" x14ac:dyDescent="0.25">
      <c r="A14" s="15">
        <v>40565282</v>
      </c>
      <c r="B14" s="15" t="s">
        <v>132</v>
      </c>
      <c r="C14" s="15" t="s">
        <v>316</v>
      </c>
      <c r="D14" s="15" t="s">
        <v>574</v>
      </c>
      <c r="E14" s="15" t="s">
        <v>575</v>
      </c>
      <c r="F14" s="15" t="s">
        <v>576</v>
      </c>
      <c r="G14" s="16">
        <v>1194</v>
      </c>
      <c r="H14" s="15" t="s">
        <v>113</v>
      </c>
      <c r="I14" s="15" t="s">
        <v>255</v>
      </c>
      <c r="J14" s="15" t="s">
        <v>392</v>
      </c>
      <c r="K14" s="15" t="s">
        <v>54</v>
      </c>
      <c r="L14" s="15" t="s">
        <v>116</v>
      </c>
      <c r="M14" s="15" t="s">
        <v>61</v>
      </c>
      <c r="N14" s="15" t="s">
        <v>312</v>
      </c>
      <c r="O14" s="16">
        <v>1194</v>
      </c>
      <c r="P14" s="16">
        <v>119.4</v>
      </c>
      <c r="Q14" s="16">
        <v>1081.1500000000001</v>
      </c>
      <c r="R14" s="16">
        <v>112.85</v>
      </c>
      <c r="S14" s="15" t="s">
        <v>49</v>
      </c>
    </row>
    <row r="15" spans="1:19" ht="75" x14ac:dyDescent="0.25">
      <c r="A15" s="15">
        <v>40565758</v>
      </c>
      <c r="B15" s="15" t="s">
        <v>132</v>
      </c>
      <c r="C15" s="15" t="s">
        <v>316</v>
      </c>
      <c r="D15" s="15" t="s">
        <v>577</v>
      </c>
      <c r="E15" s="15" t="s">
        <v>575</v>
      </c>
      <c r="F15" s="15" t="s">
        <v>576</v>
      </c>
      <c r="G15" s="16">
        <v>1183</v>
      </c>
      <c r="H15" s="15" t="s">
        <v>113</v>
      </c>
      <c r="I15" s="15" t="s">
        <v>255</v>
      </c>
      <c r="J15" s="15" t="s">
        <v>392</v>
      </c>
      <c r="K15" s="15" t="s">
        <v>54</v>
      </c>
      <c r="L15" s="15" t="s">
        <v>116</v>
      </c>
      <c r="M15" s="15" t="s">
        <v>61</v>
      </c>
      <c r="N15" s="15" t="s">
        <v>312</v>
      </c>
      <c r="O15" s="16">
        <v>1183</v>
      </c>
      <c r="P15" s="16">
        <v>118.3</v>
      </c>
      <c r="Q15" s="16">
        <v>1071.18</v>
      </c>
      <c r="R15" s="16">
        <v>111.82</v>
      </c>
      <c r="S15" s="15" t="s">
        <v>49</v>
      </c>
    </row>
    <row r="16" spans="1:19" ht="75" x14ac:dyDescent="0.25">
      <c r="A16" s="15">
        <v>40569016</v>
      </c>
      <c r="B16" s="15" t="s">
        <v>132</v>
      </c>
      <c r="C16" s="15" t="s">
        <v>316</v>
      </c>
      <c r="D16" s="15" t="s">
        <v>578</v>
      </c>
      <c r="E16" s="15" t="s">
        <v>575</v>
      </c>
      <c r="F16" s="15" t="s">
        <v>576</v>
      </c>
      <c r="G16" s="16">
        <v>1183</v>
      </c>
      <c r="H16" s="15" t="s">
        <v>113</v>
      </c>
      <c r="I16" s="15" t="s">
        <v>255</v>
      </c>
      <c r="J16" s="15" t="s">
        <v>392</v>
      </c>
      <c r="K16" s="15" t="s">
        <v>54</v>
      </c>
      <c r="L16" s="15" t="s">
        <v>116</v>
      </c>
      <c r="M16" s="15" t="s">
        <v>61</v>
      </c>
      <c r="N16" s="15" t="s">
        <v>312</v>
      </c>
      <c r="O16" s="16">
        <v>1183</v>
      </c>
      <c r="P16" s="16">
        <v>118.3</v>
      </c>
      <c r="Q16" s="16">
        <v>1072.1500000000001</v>
      </c>
      <c r="R16" s="16">
        <v>110.85</v>
      </c>
      <c r="S16" s="15" t="s">
        <v>49</v>
      </c>
    </row>
    <row r="17" spans="1:19" ht="60" x14ac:dyDescent="0.25">
      <c r="A17" s="15">
        <v>40586259</v>
      </c>
      <c r="B17" s="15" t="s">
        <v>132</v>
      </c>
      <c r="C17" s="15" t="s">
        <v>404</v>
      </c>
      <c r="D17" s="15" t="s">
        <v>579</v>
      </c>
      <c r="E17" s="15" t="s">
        <v>580</v>
      </c>
      <c r="F17" s="15" t="s">
        <v>581</v>
      </c>
      <c r="G17" s="16">
        <v>67.5</v>
      </c>
      <c r="H17" s="15" t="s">
        <v>406</v>
      </c>
      <c r="I17" s="15" t="s">
        <v>255</v>
      </c>
      <c r="J17" s="15" t="s">
        <v>407</v>
      </c>
      <c r="K17" s="15" t="s">
        <v>54</v>
      </c>
      <c r="L17" s="15" t="s">
        <v>116</v>
      </c>
      <c r="M17" s="15" t="s">
        <v>61</v>
      </c>
      <c r="N17" s="15" t="s">
        <v>312</v>
      </c>
      <c r="O17" s="16">
        <v>67.5</v>
      </c>
      <c r="P17" s="16">
        <v>6.75</v>
      </c>
      <c r="Q17" s="16">
        <v>61.4</v>
      </c>
      <c r="R17" s="16">
        <v>6.1</v>
      </c>
      <c r="S17" s="15" t="s">
        <v>49</v>
      </c>
    </row>
    <row r="18" spans="1:19" ht="60" x14ac:dyDescent="0.25">
      <c r="A18" s="15">
        <v>40582190</v>
      </c>
      <c r="B18" s="15" t="s">
        <v>132</v>
      </c>
      <c r="C18" s="15" t="s">
        <v>412</v>
      </c>
      <c r="D18" s="15" t="s">
        <v>582</v>
      </c>
      <c r="E18" s="15" t="s">
        <v>583</v>
      </c>
      <c r="F18" s="15" t="s">
        <v>584</v>
      </c>
      <c r="G18" s="16">
        <v>298</v>
      </c>
      <c r="H18" s="15" t="s">
        <v>233</v>
      </c>
      <c r="I18" s="15" t="s">
        <v>255</v>
      </c>
      <c r="J18" s="15" t="s">
        <v>413</v>
      </c>
      <c r="K18" s="15" t="s">
        <v>54</v>
      </c>
      <c r="L18" s="15" t="s">
        <v>116</v>
      </c>
      <c r="M18" s="15" t="s">
        <v>61</v>
      </c>
      <c r="N18" s="15" t="s">
        <v>312</v>
      </c>
      <c r="O18" s="16">
        <v>298</v>
      </c>
      <c r="P18" s="16">
        <v>29.8</v>
      </c>
      <c r="Q18" s="16">
        <v>270.81</v>
      </c>
      <c r="R18" s="16">
        <v>27.19</v>
      </c>
      <c r="S18" s="15" t="s">
        <v>49</v>
      </c>
    </row>
    <row r="19" spans="1:19" ht="60" x14ac:dyDescent="0.25">
      <c r="A19" s="15">
        <v>40588668</v>
      </c>
      <c r="B19" s="15" t="s">
        <v>132</v>
      </c>
      <c r="C19" s="15" t="s">
        <v>404</v>
      </c>
      <c r="D19" s="15" t="s">
        <v>585</v>
      </c>
      <c r="E19" s="15" t="s">
        <v>580</v>
      </c>
      <c r="F19" s="15" t="s">
        <v>581</v>
      </c>
      <c r="G19" s="16">
        <v>45.4</v>
      </c>
      <c r="H19" s="15" t="s">
        <v>406</v>
      </c>
      <c r="I19" s="15" t="s">
        <v>255</v>
      </c>
      <c r="J19" s="15" t="s">
        <v>407</v>
      </c>
      <c r="K19" s="15" t="s">
        <v>54</v>
      </c>
      <c r="L19" s="15" t="s">
        <v>116</v>
      </c>
      <c r="M19" s="15" t="s">
        <v>61</v>
      </c>
      <c r="N19" s="15" t="s">
        <v>312</v>
      </c>
      <c r="O19" s="16">
        <v>45.4</v>
      </c>
      <c r="P19" s="16">
        <v>4.54</v>
      </c>
      <c r="Q19" s="16">
        <v>41.34</v>
      </c>
      <c r="R19" s="16">
        <v>4.0599999999999996</v>
      </c>
      <c r="S19" s="15" t="s">
        <v>49</v>
      </c>
    </row>
    <row r="20" spans="1:19" ht="75" x14ac:dyDescent="0.25">
      <c r="A20" s="15">
        <v>40631281</v>
      </c>
      <c r="B20" s="15" t="s">
        <v>132</v>
      </c>
      <c r="C20" s="15" t="s">
        <v>316</v>
      </c>
      <c r="D20" s="15" t="s">
        <v>586</v>
      </c>
      <c r="E20" s="15" t="s">
        <v>587</v>
      </c>
      <c r="F20" s="15" t="s">
        <v>588</v>
      </c>
      <c r="G20" s="16">
        <v>1135</v>
      </c>
      <c r="H20" s="15" t="s">
        <v>113</v>
      </c>
      <c r="I20" s="15" t="s">
        <v>114</v>
      </c>
      <c r="J20" s="15" t="s">
        <v>423</v>
      </c>
      <c r="K20" s="15" t="s">
        <v>54</v>
      </c>
      <c r="L20" s="15" t="s">
        <v>116</v>
      </c>
      <c r="M20" s="15" t="s">
        <v>61</v>
      </c>
      <c r="N20" s="15" t="s">
        <v>312</v>
      </c>
      <c r="O20" s="16">
        <v>1225</v>
      </c>
      <c r="P20" s="16">
        <v>122.5</v>
      </c>
      <c r="Q20" s="16">
        <v>1127.3399999999999</v>
      </c>
      <c r="R20" s="16">
        <v>97.66</v>
      </c>
      <c r="S20" s="15" t="s">
        <v>49</v>
      </c>
    </row>
    <row r="21" spans="1:19" ht="60" x14ac:dyDescent="0.25">
      <c r="A21" s="15">
        <v>40581310</v>
      </c>
      <c r="B21" s="15" t="s">
        <v>132</v>
      </c>
      <c r="C21" s="15" t="s">
        <v>412</v>
      </c>
      <c r="D21" s="15" t="s">
        <v>589</v>
      </c>
      <c r="E21" s="15" t="s">
        <v>590</v>
      </c>
      <c r="F21" s="15" t="s">
        <v>584</v>
      </c>
      <c r="G21" s="16">
        <v>298</v>
      </c>
      <c r="H21" s="15" t="s">
        <v>233</v>
      </c>
      <c r="I21" s="15" t="s">
        <v>255</v>
      </c>
      <c r="J21" s="15" t="s">
        <v>428</v>
      </c>
      <c r="K21" s="15" t="s">
        <v>54</v>
      </c>
      <c r="L21" s="15" t="s">
        <v>116</v>
      </c>
      <c r="M21" s="15" t="s">
        <v>61</v>
      </c>
      <c r="N21" s="15" t="s">
        <v>312</v>
      </c>
      <c r="O21" s="16">
        <v>298</v>
      </c>
      <c r="P21" s="16">
        <v>29.8</v>
      </c>
      <c r="Q21" s="16">
        <v>270.81</v>
      </c>
      <c r="R21" s="16">
        <v>27.19</v>
      </c>
      <c r="S21" s="15" t="s">
        <v>49</v>
      </c>
    </row>
    <row r="22" spans="1:19" ht="75" x14ac:dyDescent="0.25">
      <c r="A22" s="15">
        <v>40570827</v>
      </c>
      <c r="B22" s="15" t="s">
        <v>132</v>
      </c>
      <c r="C22" s="15" t="s">
        <v>316</v>
      </c>
      <c r="D22" s="15" t="s">
        <v>591</v>
      </c>
      <c r="E22" s="15" t="s">
        <v>575</v>
      </c>
      <c r="F22" s="15" t="s">
        <v>576</v>
      </c>
      <c r="G22" s="16">
        <v>1183</v>
      </c>
      <c r="H22" s="15" t="s">
        <v>113</v>
      </c>
      <c r="I22" s="15" t="s">
        <v>255</v>
      </c>
      <c r="J22" s="15" t="s">
        <v>392</v>
      </c>
      <c r="K22" s="15" t="s">
        <v>54</v>
      </c>
      <c r="L22" s="15" t="s">
        <v>116</v>
      </c>
      <c r="M22" s="15" t="s">
        <v>61</v>
      </c>
      <c r="N22" s="15" t="s">
        <v>312</v>
      </c>
      <c r="O22" s="16">
        <v>1183</v>
      </c>
      <c r="P22" s="16">
        <v>118.3</v>
      </c>
      <c r="Q22" s="16">
        <v>1072.1500000000001</v>
      </c>
      <c r="R22" s="16">
        <v>110.85</v>
      </c>
      <c r="S22" s="15" t="s">
        <v>49</v>
      </c>
    </row>
    <row r="23" spans="1:19" ht="60" x14ac:dyDescent="0.25">
      <c r="A23" s="15">
        <v>40588663</v>
      </c>
      <c r="B23" s="15" t="s">
        <v>132</v>
      </c>
      <c r="C23" s="15" t="s">
        <v>404</v>
      </c>
      <c r="D23" s="15" t="s">
        <v>592</v>
      </c>
      <c r="E23" s="15" t="s">
        <v>580</v>
      </c>
      <c r="F23" s="15" t="s">
        <v>581</v>
      </c>
      <c r="G23" s="16">
        <v>67.5</v>
      </c>
      <c r="H23" s="15" t="s">
        <v>406</v>
      </c>
      <c r="I23" s="15" t="s">
        <v>255</v>
      </c>
      <c r="J23" s="15" t="s">
        <v>407</v>
      </c>
      <c r="K23" s="15" t="s">
        <v>54</v>
      </c>
      <c r="L23" s="15" t="s">
        <v>116</v>
      </c>
      <c r="M23" s="15" t="s">
        <v>61</v>
      </c>
      <c r="N23" s="15" t="s">
        <v>312</v>
      </c>
      <c r="O23" s="16">
        <v>67.5</v>
      </c>
      <c r="P23" s="16">
        <v>6.75</v>
      </c>
      <c r="Q23" s="16">
        <v>61.46</v>
      </c>
      <c r="R23" s="16">
        <v>6.04</v>
      </c>
      <c r="S23" s="15" t="s">
        <v>49</v>
      </c>
    </row>
    <row r="24" spans="1:19" ht="60" x14ac:dyDescent="0.25">
      <c r="A24" s="15">
        <v>40580507</v>
      </c>
      <c r="B24" s="15" t="s">
        <v>132</v>
      </c>
      <c r="C24" s="15" t="s">
        <v>412</v>
      </c>
      <c r="D24" s="15" t="s">
        <v>593</v>
      </c>
      <c r="E24" s="15" t="s">
        <v>590</v>
      </c>
      <c r="F24" s="15" t="s">
        <v>584</v>
      </c>
      <c r="G24" s="16">
        <v>298</v>
      </c>
      <c r="H24" s="15" t="s">
        <v>233</v>
      </c>
      <c r="I24" s="15" t="s">
        <v>255</v>
      </c>
      <c r="J24" s="15" t="s">
        <v>428</v>
      </c>
      <c r="K24" s="15" t="s">
        <v>54</v>
      </c>
      <c r="L24" s="15" t="s">
        <v>116</v>
      </c>
      <c r="M24" s="15" t="s">
        <v>61</v>
      </c>
      <c r="N24" s="15" t="s">
        <v>312</v>
      </c>
      <c r="O24" s="16">
        <v>298</v>
      </c>
      <c r="P24" s="16">
        <v>29.8</v>
      </c>
      <c r="Q24" s="16">
        <v>216.45</v>
      </c>
      <c r="R24" s="16">
        <v>81.55</v>
      </c>
      <c r="S24" s="15" t="s">
        <v>49</v>
      </c>
    </row>
    <row r="25" spans="1:19" ht="75" x14ac:dyDescent="0.25">
      <c r="A25" s="15">
        <v>40631278</v>
      </c>
      <c r="B25" s="15" t="s">
        <v>132</v>
      </c>
      <c r="C25" s="15" t="s">
        <v>316</v>
      </c>
      <c r="D25" s="15" t="s">
        <v>594</v>
      </c>
      <c r="E25" s="15" t="s">
        <v>587</v>
      </c>
      <c r="F25" s="15" t="s">
        <v>588</v>
      </c>
      <c r="G25" s="16">
        <v>1135</v>
      </c>
      <c r="H25" s="15" t="s">
        <v>113</v>
      </c>
      <c r="I25" s="15" t="s">
        <v>114</v>
      </c>
      <c r="J25" s="15" t="s">
        <v>423</v>
      </c>
      <c r="K25" s="15" t="s">
        <v>54</v>
      </c>
      <c r="L25" s="15" t="s">
        <v>116</v>
      </c>
      <c r="M25" s="15" t="s">
        <v>61</v>
      </c>
      <c r="N25" s="15" t="s">
        <v>312</v>
      </c>
      <c r="O25" s="16">
        <v>1225</v>
      </c>
      <c r="P25" s="16">
        <v>122.5</v>
      </c>
      <c r="Q25" s="16">
        <v>1127.3399999999999</v>
      </c>
      <c r="R25" s="16">
        <v>97.66</v>
      </c>
      <c r="S25" s="15" t="s">
        <v>49</v>
      </c>
    </row>
    <row r="26" spans="1:19" ht="60" x14ac:dyDescent="0.25">
      <c r="A26" s="15">
        <v>40581988</v>
      </c>
      <c r="B26" s="15" t="s">
        <v>132</v>
      </c>
      <c r="C26" s="15" t="s">
        <v>412</v>
      </c>
      <c r="D26" s="15" t="s">
        <v>595</v>
      </c>
      <c r="E26" s="15" t="s">
        <v>583</v>
      </c>
      <c r="F26" s="15" t="s">
        <v>584</v>
      </c>
      <c r="G26" s="16">
        <v>298</v>
      </c>
      <c r="H26" s="15" t="s">
        <v>233</v>
      </c>
      <c r="I26" s="15" t="s">
        <v>255</v>
      </c>
      <c r="J26" s="15" t="s">
        <v>413</v>
      </c>
      <c r="K26" s="15" t="s">
        <v>54</v>
      </c>
      <c r="L26" s="15" t="s">
        <v>116</v>
      </c>
      <c r="M26" s="15" t="s">
        <v>61</v>
      </c>
      <c r="N26" s="15" t="s">
        <v>312</v>
      </c>
      <c r="O26" s="16">
        <v>298</v>
      </c>
      <c r="P26" s="16">
        <v>29.8</v>
      </c>
      <c r="Q26" s="16">
        <v>270.81</v>
      </c>
      <c r="R26" s="16">
        <v>27.19</v>
      </c>
      <c r="S26" s="15" t="s">
        <v>49</v>
      </c>
    </row>
    <row r="27" spans="1:19" ht="75" x14ac:dyDescent="0.25">
      <c r="A27" s="15">
        <v>40631042</v>
      </c>
      <c r="B27" s="15" t="s">
        <v>132</v>
      </c>
      <c r="C27" s="15" t="s">
        <v>316</v>
      </c>
      <c r="D27" s="15" t="s">
        <v>596</v>
      </c>
      <c r="E27" s="15" t="s">
        <v>587</v>
      </c>
      <c r="F27" s="15" t="s">
        <v>588</v>
      </c>
      <c r="G27" s="16">
        <v>1135</v>
      </c>
      <c r="H27" s="15" t="s">
        <v>113</v>
      </c>
      <c r="I27" s="15" t="s">
        <v>114</v>
      </c>
      <c r="J27" s="15" t="s">
        <v>423</v>
      </c>
      <c r="K27" s="15" t="s">
        <v>54</v>
      </c>
      <c r="L27" s="15" t="s">
        <v>116</v>
      </c>
      <c r="M27" s="15" t="s">
        <v>61</v>
      </c>
      <c r="N27" s="15" t="s">
        <v>312</v>
      </c>
      <c r="O27" s="16">
        <v>1225</v>
      </c>
      <c r="P27" s="16">
        <v>122.5</v>
      </c>
      <c r="Q27" s="16">
        <v>1127.3399999999999</v>
      </c>
      <c r="R27" s="16">
        <v>97.66</v>
      </c>
      <c r="S27" s="15" t="s">
        <v>49</v>
      </c>
    </row>
    <row r="28" spans="1:19" ht="60" x14ac:dyDescent="0.25">
      <c r="A28" s="15">
        <v>40588455</v>
      </c>
      <c r="B28" s="15" t="s">
        <v>132</v>
      </c>
      <c r="C28" s="15" t="s">
        <v>404</v>
      </c>
      <c r="D28" s="15" t="s">
        <v>597</v>
      </c>
      <c r="E28" s="15" t="s">
        <v>580</v>
      </c>
      <c r="F28" s="15" t="s">
        <v>581</v>
      </c>
      <c r="G28" s="16">
        <v>45.4</v>
      </c>
      <c r="H28" s="15" t="s">
        <v>406</v>
      </c>
      <c r="I28" s="15" t="s">
        <v>255</v>
      </c>
      <c r="J28" s="15" t="s">
        <v>407</v>
      </c>
      <c r="K28" s="15" t="s">
        <v>54</v>
      </c>
      <c r="L28" s="15" t="s">
        <v>116</v>
      </c>
      <c r="M28" s="15" t="s">
        <v>61</v>
      </c>
      <c r="N28" s="15" t="s">
        <v>312</v>
      </c>
      <c r="O28" s="16">
        <v>45.4</v>
      </c>
      <c r="P28" s="16">
        <v>4.54</v>
      </c>
      <c r="Q28" s="16">
        <v>41.34</v>
      </c>
      <c r="R28" s="16">
        <v>4.0599999999999996</v>
      </c>
      <c r="S28" s="15" t="s">
        <v>49</v>
      </c>
    </row>
    <row r="29" spans="1:19" ht="60" x14ac:dyDescent="0.25">
      <c r="A29" s="15">
        <v>40588447</v>
      </c>
      <c r="B29" s="15" t="s">
        <v>132</v>
      </c>
      <c r="C29" s="15" t="s">
        <v>404</v>
      </c>
      <c r="D29" s="15" t="s">
        <v>598</v>
      </c>
      <c r="E29" s="15" t="s">
        <v>580</v>
      </c>
      <c r="F29" s="15" t="s">
        <v>581</v>
      </c>
      <c r="G29" s="16">
        <v>39.47</v>
      </c>
      <c r="H29" s="15" t="s">
        <v>406</v>
      </c>
      <c r="I29" s="15" t="s">
        <v>255</v>
      </c>
      <c r="J29" s="15" t="s">
        <v>407</v>
      </c>
      <c r="K29" s="15" t="s">
        <v>54</v>
      </c>
      <c r="L29" s="15" t="s">
        <v>116</v>
      </c>
      <c r="M29" s="15" t="s">
        <v>61</v>
      </c>
      <c r="N29" s="15" t="s">
        <v>312</v>
      </c>
      <c r="O29" s="16">
        <v>39.47</v>
      </c>
      <c r="P29" s="16">
        <v>3.95</v>
      </c>
      <c r="Q29" s="16">
        <v>35.93</v>
      </c>
      <c r="R29" s="16">
        <v>3.54</v>
      </c>
      <c r="S29" s="15" t="s">
        <v>49</v>
      </c>
    </row>
    <row r="30" spans="1:19" ht="60" x14ac:dyDescent="0.25">
      <c r="A30" s="15">
        <v>40580510</v>
      </c>
      <c r="B30" s="15" t="s">
        <v>132</v>
      </c>
      <c r="C30" s="15" t="s">
        <v>412</v>
      </c>
      <c r="D30" s="15" t="s">
        <v>599</v>
      </c>
      <c r="E30" s="15" t="s">
        <v>590</v>
      </c>
      <c r="F30" s="15" t="s">
        <v>584</v>
      </c>
      <c r="G30" s="16">
        <v>297</v>
      </c>
      <c r="H30" s="15" t="s">
        <v>233</v>
      </c>
      <c r="I30" s="15" t="s">
        <v>255</v>
      </c>
      <c r="J30" s="15" t="s">
        <v>428</v>
      </c>
      <c r="K30" s="15" t="s">
        <v>54</v>
      </c>
      <c r="L30" s="15" t="s">
        <v>116</v>
      </c>
      <c r="M30" s="15" t="s">
        <v>61</v>
      </c>
      <c r="N30" s="15" t="s">
        <v>312</v>
      </c>
      <c r="O30" s="16">
        <v>297</v>
      </c>
      <c r="P30" s="16">
        <v>29.7</v>
      </c>
      <c r="Q30" s="16">
        <v>269.89999999999998</v>
      </c>
      <c r="R30" s="16">
        <v>27.1</v>
      </c>
      <c r="S30" s="15" t="s">
        <v>49</v>
      </c>
    </row>
    <row r="31" spans="1:19" ht="60" x14ac:dyDescent="0.25">
      <c r="A31" s="15">
        <v>40582192</v>
      </c>
      <c r="B31" s="15" t="s">
        <v>132</v>
      </c>
      <c r="C31" s="15" t="s">
        <v>412</v>
      </c>
      <c r="D31" s="15" t="s">
        <v>600</v>
      </c>
      <c r="E31" s="15" t="s">
        <v>583</v>
      </c>
      <c r="F31" s="15" t="s">
        <v>584</v>
      </c>
      <c r="G31" s="16">
        <v>298</v>
      </c>
      <c r="H31" s="15" t="s">
        <v>233</v>
      </c>
      <c r="I31" s="15" t="s">
        <v>255</v>
      </c>
      <c r="J31" s="15" t="s">
        <v>413</v>
      </c>
      <c r="K31" s="15" t="s">
        <v>54</v>
      </c>
      <c r="L31" s="15" t="s">
        <v>116</v>
      </c>
      <c r="M31" s="15" t="s">
        <v>61</v>
      </c>
      <c r="N31" s="15" t="s">
        <v>312</v>
      </c>
      <c r="O31" s="16">
        <v>298</v>
      </c>
      <c r="P31" s="16">
        <v>29.8</v>
      </c>
      <c r="Q31" s="16">
        <v>270.81</v>
      </c>
      <c r="R31" s="16">
        <v>27.19</v>
      </c>
      <c r="S31" s="15" t="s">
        <v>49</v>
      </c>
    </row>
    <row r="32" spans="1:19" ht="60" x14ac:dyDescent="0.25">
      <c r="A32" s="15">
        <v>40588456</v>
      </c>
      <c r="B32" s="15" t="s">
        <v>132</v>
      </c>
      <c r="C32" s="15" t="s">
        <v>404</v>
      </c>
      <c r="D32" s="15" t="s">
        <v>601</v>
      </c>
      <c r="E32" s="15" t="s">
        <v>580</v>
      </c>
      <c r="F32" s="15" t="s">
        <v>581</v>
      </c>
      <c r="G32" s="16">
        <v>45.4</v>
      </c>
      <c r="H32" s="15" t="s">
        <v>406</v>
      </c>
      <c r="I32" s="15" t="s">
        <v>255</v>
      </c>
      <c r="J32" s="15" t="s">
        <v>407</v>
      </c>
      <c r="K32" s="15" t="s">
        <v>54</v>
      </c>
      <c r="L32" s="15" t="s">
        <v>116</v>
      </c>
      <c r="M32" s="15" t="s">
        <v>61</v>
      </c>
      <c r="N32" s="15" t="s">
        <v>312</v>
      </c>
      <c r="O32" s="16">
        <v>45.4</v>
      </c>
      <c r="P32" s="16">
        <v>4.54</v>
      </c>
      <c r="Q32" s="16">
        <v>41.34</v>
      </c>
      <c r="R32" s="16">
        <v>4.0599999999999996</v>
      </c>
      <c r="S32" s="15" t="s">
        <v>49</v>
      </c>
    </row>
    <row r="33" spans="1:19" ht="60" x14ac:dyDescent="0.25">
      <c r="A33" s="15">
        <v>40588693</v>
      </c>
      <c r="B33" s="15" t="s">
        <v>132</v>
      </c>
      <c r="C33" s="15" t="s">
        <v>404</v>
      </c>
      <c r="D33" s="15" t="s">
        <v>602</v>
      </c>
      <c r="E33" s="15" t="s">
        <v>580</v>
      </c>
      <c r="F33" s="15" t="s">
        <v>581</v>
      </c>
      <c r="G33" s="16">
        <v>45.4</v>
      </c>
      <c r="H33" s="15" t="s">
        <v>406</v>
      </c>
      <c r="I33" s="15" t="s">
        <v>255</v>
      </c>
      <c r="J33" s="15" t="s">
        <v>407</v>
      </c>
      <c r="K33" s="15" t="s">
        <v>54</v>
      </c>
      <c r="L33" s="15" t="s">
        <v>116</v>
      </c>
      <c r="M33" s="15" t="s">
        <v>61</v>
      </c>
      <c r="N33" s="15" t="s">
        <v>312</v>
      </c>
      <c r="O33" s="16">
        <v>45.4</v>
      </c>
      <c r="P33" s="16">
        <v>4.54</v>
      </c>
      <c r="Q33" s="16">
        <v>41.34</v>
      </c>
      <c r="R33" s="16">
        <v>4.0599999999999996</v>
      </c>
      <c r="S33" s="15" t="s">
        <v>49</v>
      </c>
    </row>
    <row r="34" spans="1:19" ht="60" x14ac:dyDescent="0.25">
      <c r="A34" s="15">
        <v>40588880</v>
      </c>
      <c r="B34" s="15" t="s">
        <v>132</v>
      </c>
      <c r="C34" s="15" t="s">
        <v>404</v>
      </c>
      <c r="D34" s="15" t="s">
        <v>603</v>
      </c>
      <c r="E34" s="15" t="s">
        <v>580</v>
      </c>
      <c r="F34" s="15" t="s">
        <v>581</v>
      </c>
      <c r="G34" s="16">
        <v>45.5</v>
      </c>
      <c r="H34" s="15" t="s">
        <v>406</v>
      </c>
      <c r="I34" s="15" t="s">
        <v>255</v>
      </c>
      <c r="J34" s="15" t="s">
        <v>407</v>
      </c>
      <c r="K34" s="15" t="s">
        <v>54</v>
      </c>
      <c r="L34" s="15" t="s">
        <v>116</v>
      </c>
      <c r="M34" s="15" t="s">
        <v>61</v>
      </c>
      <c r="N34" s="15" t="s">
        <v>312</v>
      </c>
      <c r="O34" s="16">
        <v>45.5</v>
      </c>
      <c r="P34" s="16">
        <v>4.55</v>
      </c>
      <c r="Q34" s="16">
        <v>41.42</v>
      </c>
      <c r="R34" s="16">
        <v>4.08</v>
      </c>
      <c r="S34" s="15" t="s">
        <v>49</v>
      </c>
    </row>
    <row r="35" spans="1:19" ht="60" x14ac:dyDescent="0.25">
      <c r="A35" s="15">
        <v>40588881</v>
      </c>
      <c r="B35" s="15" t="s">
        <v>132</v>
      </c>
      <c r="C35" s="15" t="s">
        <v>404</v>
      </c>
      <c r="D35" s="15" t="s">
        <v>604</v>
      </c>
      <c r="E35" s="15" t="s">
        <v>580</v>
      </c>
      <c r="F35" s="15" t="s">
        <v>581</v>
      </c>
      <c r="G35" s="16">
        <v>45.4</v>
      </c>
      <c r="H35" s="15" t="s">
        <v>406</v>
      </c>
      <c r="I35" s="15" t="s">
        <v>255</v>
      </c>
      <c r="J35" s="15" t="s">
        <v>407</v>
      </c>
      <c r="K35" s="15" t="s">
        <v>54</v>
      </c>
      <c r="L35" s="15" t="s">
        <v>116</v>
      </c>
      <c r="M35" s="15" t="s">
        <v>61</v>
      </c>
      <c r="N35" s="15" t="s">
        <v>312</v>
      </c>
      <c r="O35" s="16">
        <v>45.4</v>
      </c>
      <c r="P35" s="16">
        <v>4.54</v>
      </c>
      <c r="Q35" s="16">
        <v>41.34</v>
      </c>
      <c r="R35" s="16">
        <v>4.0599999999999996</v>
      </c>
      <c r="S35" s="15" t="s">
        <v>49</v>
      </c>
    </row>
    <row r="36" spans="1:19" ht="75" x14ac:dyDescent="0.25">
      <c r="A36" s="15">
        <v>40631242</v>
      </c>
      <c r="B36" s="15" t="s">
        <v>132</v>
      </c>
      <c r="C36" s="15" t="s">
        <v>316</v>
      </c>
      <c r="D36" s="15" t="s">
        <v>605</v>
      </c>
      <c r="E36" s="15" t="s">
        <v>587</v>
      </c>
      <c r="F36" s="15" t="s">
        <v>588</v>
      </c>
      <c r="G36" s="16">
        <v>1135</v>
      </c>
      <c r="H36" s="15" t="s">
        <v>113</v>
      </c>
      <c r="I36" s="15" t="s">
        <v>114</v>
      </c>
      <c r="J36" s="15" t="s">
        <v>423</v>
      </c>
      <c r="K36" s="15" t="s">
        <v>54</v>
      </c>
      <c r="L36" s="15" t="s">
        <v>116</v>
      </c>
      <c r="M36" s="15" t="s">
        <v>61</v>
      </c>
      <c r="N36" s="15" t="s">
        <v>312</v>
      </c>
      <c r="O36" s="16">
        <v>1225</v>
      </c>
      <c r="P36" s="16">
        <v>122.5</v>
      </c>
      <c r="Q36" s="16">
        <v>1127.3399999999999</v>
      </c>
      <c r="R36" s="16">
        <v>97.66</v>
      </c>
      <c r="S36" s="15" t="s">
        <v>49</v>
      </c>
    </row>
    <row r="37" spans="1:19" ht="60" x14ac:dyDescent="0.25">
      <c r="A37" s="15">
        <v>40581985</v>
      </c>
      <c r="B37" s="15" t="s">
        <v>132</v>
      </c>
      <c r="C37" s="15" t="s">
        <v>412</v>
      </c>
      <c r="D37" s="15" t="s">
        <v>606</v>
      </c>
      <c r="E37" s="15" t="s">
        <v>583</v>
      </c>
      <c r="F37" s="15" t="s">
        <v>584</v>
      </c>
      <c r="G37" s="16">
        <v>297</v>
      </c>
      <c r="H37" s="15" t="s">
        <v>233</v>
      </c>
      <c r="I37" s="15" t="s">
        <v>255</v>
      </c>
      <c r="J37" s="15" t="s">
        <v>413</v>
      </c>
      <c r="K37" s="15" t="s">
        <v>54</v>
      </c>
      <c r="L37" s="15" t="s">
        <v>116</v>
      </c>
      <c r="M37" s="15" t="s">
        <v>61</v>
      </c>
      <c r="N37" s="15" t="s">
        <v>312</v>
      </c>
      <c r="O37" s="16">
        <v>297</v>
      </c>
      <c r="P37" s="16">
        <v>29.7</v>
      </c>
      <c r="Q37" s="16">
        <v>269.89999999999998</v>
      </c>
      <c r="R37" s="16">
        <v>27.1</v>
      </c>
      <c r="S37" s="15" t="s">
        <v>49</v>
      </c>
    </row>
    <row r="38" spans="1:19" ht="75" x14ac:dyDescent="0.25">
      <c r="A38" s="15">
        <v>40631251</v>
      </c>
      <c r="B38" s="15" t="s">
        <v>132</v>
      </c>
      <c r="C38" s="15" t="s">
        <v>316</v>
      </c>
      <c r="D38" s="15" t="s">
        <v>607</v>
      </c>
      <c r="E38" s="15" t="s">
        <v>587</v>
      </c>
      <c r="F38" s="15" t="s">
        <v>588</v>
      </c>
      <c r="G38" s="16">
        <v>1135</v>
      </c>
      <c r="H38" s="15" t="s">
        <v>113</v>
      </c>
      <c r="I38" s="15" t="s">
        <v>114</v>
      </c>
      <c r="J38" s="15" t="s">
        <v>423</v>
      </c>
      <c r="K38" s="15" t="s">
        <v>54</v>
      </c>
      <c r="L38" s="15" t="s">
        <v>116</v>
      </c>
      <c r="M38" s="15" t="s">
        <v>61</v>
      </c>
      <c r="N38" s="15" t="s">
        <v>312</v>
      </c>
      <c r="O38" s="16">
        <v>1225</v>
      </c>
      <c r="P38" s="16">
        <v>122.5</v>
      </c>
      <c r="Q38" s="16">
        <v>1127.3399999999999</v>
      </c>
      <c r="R38" s="16">
        <v>97.66</v>
      </c>
      <c r="S38" s="15" t="s">
        <v>49</v>
      </c>
    </row>
    <row r="39" spans="1:19" ht="60" x14ac:dyDescent="0.25">
      <c r="A39" s="15">
        <v>40577745</v>
      </c>
      <c r="B39" s="15" t="s">
        <v>132</v>
      </c>
      <c r="C39" s="15" t="s">
        <v>412</v>
      </c>
      <c r="D39" s="15" t="s">
        <v>608</v>
      </c>
      <c r="E39" s="15" t="s">
        <v>590</v>
      </c>
      <c r="F39" s="15" t="s">
        <v>584</v>
      </c>
      <c r="G39" s="16">
        <v>297</v>
      </c>
      <c r="H39" s="15" t="s">
        <v>233</v>
      </c>
      <c r="I39" s="15" t="s">
        <v>114</v>
      </c>
      <c r="J39" s="15" t="s">
        <v>428</v>
      </c>
      <c r="K39" s="15" t="s">
        <v>54</v>
      </c>
      <c r="L39" s="15" t="s">
        <v>116</v>
      </c>
      <c r="M39" s="15" t="s">
        <v>61</v>
      </c>
      <c r="N39" s="15" t="s">
        <v>312</v>
      </c>
      <c r="O39" s="16">
        <v>297</v>
      </c>
      <c r="P39" s="16">
        <v>29.7</v>
      </c>
      <c r="Q39" s="16">
        <v>213.51</v>
      </c>
      <c r="R39" s="16">
        <v>83.49</v>
      </c>
      <c r="S39" s="15" t="s">
        <v>49</v>
      </c>
    </row>
    <row r="40" spans="1:19" ht="75" x14ac:dyDescent="0.25">
      <c r="A40" s="15">
        <v>40565339</v>
      </c>
      <c r="B40" s="15" t="s">
        <v>132</v>
      </c>
      <c r="C40" s="15" t="s">
        <v>316</v>
      </c>
      <c r="D40" s="15" t="s">
        <v>609</v>
      </c>
      <c r="E40" s="15" t="s">
        <v>575</v>
      </c>
      <c r="F40" s="15" t="s">
        <v>576</v>
      </c>
      <c r="G40" s="16">
        <v>1194</v>
      </c>
      <c r="H40" s="15" t="s">
        <v>113</v>
      </c>
      <c r="I40" s="15" t="s">
        <v>255</v>
      </c>
      <c r="J40" s="15" t="s">
        <v>392</v>
      </c>
      <c r="K40" s="15" t="s">
        <v>54</v>
      </c>
      <c r="L40" s="15" t="s">
        <v>116</v>
      </c>
      <c r="M40" s="15" t="s">
        <v>61</v>
      </c>
      <c r="N40" s="15" t="s">
        <v>312</v>
      </c>
      <c r="O40" s="16">
        <v>1194</v>
      </c>
      <c r="P40" s="16">
        <v>119.4</v>
      </c>
      <c r="Q40" s="16">
        <v>1081.1500000000001</v>
      </c>
      <c r="R40" s="16">
        <v>112.85</v>
      </c>
      <c r="S40" s="15" t="s">
        <v>49</v>
      </c>
    </row>
    <row r="41" spans="1:19" ht="60" x14ac:dyDescent="0.25">
      <c r="A41" s="15">
        <v>40577674</v>
      </c>
      <c r="B41" s="15" t="s">
        <v>132</v>
      </c>
      <c r="C41" s="15" t="s">
        <v>412</v>
      </c>
      <c r="D41" s="15" t="s">
        <v>610</v>
      </c>
      <c r="E41" s="15" t="s">
        <v>590</v>
      </c>
      <c r="F41" s="15" t="s">
        <v>584</v>
      </c>
      <c r="G41" s="16">
        <v>297</v>
      </c>
      <c r="H41" s="15" t="s">
        <v>233</v>
      </c>
      <c r="I41" s="15" t="s">
        <v>114</v>
      </c>
      <c r="J41" s="15" t="s">
        <v>428</v>
      </c>
      <c r="K41" s="15" t="s">
        <v>54</v>
      </c>
      <c r="L41" s="15" t="s">
        <v>116</v>
      </c>
      <c r="M41" s="15" t="s">
        <v>61</v>
      </c>
      <c r="N41" s="15" t="s">
        <v>312</v>
      </c>
      <c r="O41" s="16">
        <v>297</v>
      </c>
      <c r="P41" s="16">
        <v>29.7</v>
      </c>
      <c r="Q41" s="16">
        <v>213.51</v>
      </c>
      <c r="R41" s="16">
        <v>83.49</v>
      </c>
      <c r="S41" s="15" t="s">
        <v>49</v>
      </c>
    </row>
    <row r="42" spans="1:19" ht="60" x14ac:dyDescent="0.25">
      <c r="A42" s="15">
        <v>40586208</v>
      </c>
      <c r="B42" s="15" t="s">
        <v>132</v>
      </c>
      <c r="C42" s="15" t="s">
        <v>404</v>
      </c>
      <c r="D42" s="15" t="s">
        <v>611</v>
      </c>
      <c r="E42" s="15" t="s">
        <v>580</v>
      </c>
      <c r="F42" s="15" t="s">
        <v>581</v>
      </c>
      <c r="G42" s="16">
        <v>44.85</v>
      </c>
      <c r="H42" s="15" t="s">
        <v>406</v>
      </c>
      <c r="I42" s="15" t="s">
        <v>255</v>
      </c>
      <c r="J42" s="15" t="s">
        <v>407</v>
      </c>
      <c r="K42" s="15" t="s">
        <v>54</v>
      </c>
      <c r="L42" s="15" t="s">
        <v>116</v>
      </c>
      <c r="M42" s="15" t="s">
        <v>61</v>
      </c>
      <c r="N42" s="15" t="s">
        <v>312</v>
      </c>
      <c r="O42" s="16">
        <v>44.85</v>
      </c>
      <c r="P42" s="16">
        <v>4.49</v>
      </c>
      <c r="Q42" s="16">
        <v>40.79</v>
      </c>
      <c r="R42" s="16">
        <v>4.0599999999999996</v>
      </c>
      <c r="S42" s="15" t="s">
        <v>49</v>
      </c>
    </row>
    <row r="43" spans="1:19" ht="60" x14ac:dyDescent="0.25">
      <c r="A43" s="15">
        <v>40586847</v>
      </c>
      <c r="B43" s="15" t="s">
        <v>132</v>
      </c>
      <c r="C43" s="15" t="s">
        <v>404</v>
      </c>
      <c r="D43" s="15" t="s">
        <v>612</v>
      </c>
      <c r="E43" s="15" t="s">
        <v>580</v>
      </c>
      <c r="F43" s="15" t="s">
        <v>581</v>
      </c>
      <c r="G43" s="16">
        <v>45.4</v>
      </c>
      <c r="H43" s="15" t="s">
        <v>406</v>
      </c>
      <c r="I43" s="15" t="s">
        <v>255</v>
      </c>
      <c r="J43" s="15" t="s">
        <v>407</v>
      </c>
      <c r="K43" s="15" t="s">
        <v>54</v>
      </c>
      <c r="L43" s="15" t="s">
        <v>116</v>
      </c>
      <c r="M43" s="15" t="s">
        <v>61</v>
      </c>
      <c r="N43" s="15" t="s">
        <v>312</v>
      </c>
      <c r="O43" s="16">
        <v>45.4</v>
      </c>
      <c r="P43" s="16">
        <v>4.54</v>
      </c>
      <c r="Q43" s="16">
        <v>41.3</v>
      </c>
      <c r="R43" s="16">
        <v>4.0999999999999996</v>
      </c>
      <c r="S43" s="15" t="s">
        <v>49</v>
      </c>
    </row>
    <row r="44" spans="1:19" ht="60" x14ac:dyDescent="0.25">
      <c r="A44" s="15">
        <v>40586895</v>
      </c>
      <c r="B44" s="15" t="s">
        <v>132</v>
      </c>
      <c r="C44" s="15" t="s">
        <v>404</v>
      </c>
      <c r="D44" s="15" t="s">
        <v>613</v>
      </c>
      <c r="E44" s="15" t="s">
        <v>580</v>
      </c>
      <c r="F44" s="15" t="s">
        <v>581</v>
      </c>
      <c r="G44" s="16">
        <v>39.47</v>
      </c>
      <c r="H44" s="15" t="s">
        <v>406</v>
      </c>
      <c r="I44" s="15" t="s">
        <v>255</v>
      </c>
      <c r="J44" s="15" t="s">
        <v>407</v>
      </c>
      <c r="K44" s="15" t="s">
        <v>54</v>
      </c>
      <c r="L44" s="15" t="s">
        <v>116</v>
      </c>
      <c r="M44" s="15" t="s">
        <v>61</v>
      </c>
      <c r="N44" s="15" t="s">
        <v>312</v>
      </c>
      <c r="O44" s="16">
        <v>39.47</v>
      </c>
      <c r="P44" s="16">
        <v>3.95</v>
      </c>
      <c r="Q44" s="16">
        <v>35.9</v>
      </c>
      <c r="R44" s="16">
        <v>3.57</v>
      </c>
      <c r="S44" s="15" t="s">
        <v>49</v>
      </c>
    </row>
    <row r="45" spans="1:19" ht="75" x14ac:dyDescent="0.25">
      <c r="A45" s="15">
        <v>40631235</v>
      </c>
      <c r="B45" s="15" t="s">
        <v>132</v>
      </c>
      <c r="C45" s="15" t="s">
        <v>316</v>
      </c>
      <c r="D45" s="15" t="s">
        <v>614</v>
      </c>
      <c r="E45" s="15" t="s">
        <v>587</v>
      </c>
      <c r="F45" s="15" t="s">
        <v>588</v>
      </c>
      <c r="G45" s="16">
        <v>1135</v>
      </c>
      <c r="H45" s="15" t="s">
        <v>113</v>
      </c>
      <c r="I45" s="15" t="s">
        <v>114</v>
      </c>
      <c r="J45" s="15" t="s">
        <v>423</v>
      </c>
      <c r="K45" s="15" t="s">
        <v>54</v>
      </c>
      <c r="L45" s="15" t="s">
        <v>116</v>
      </c>
      <c r="M45" s="15" t="s">
        <v>61</v>
      </c>
      <c r="N45" s="15" t="s">
        <v>312</v>
      </c>
      <c r="O45" s="16">
        <v>1225</v>
      </c>
      <c r="P45" s="16">
        <v>122.5</v>
      </c>
      <c r="Q45" s="16">
        <v>1127.3399999999999</v>
      </c>
      <c r="R45" s="16">
        <v>97.66</v>
      </c>
      <c r="S45" s="15" t="s">
        <v>49</v>
      </c>
    </row>
    <row r="46" spans="1:19" ht="60" x14ac:dyDescent="0.25">
      <c r="A46" s="15">
        <v>40588670</v>
      </c>
      <c r="B46" s="15" t="s">
        <v>132</v>
      </c>
      <c r="C46" s="15" t="s">
        <v>404</v>
      </c>
      <c r="D46" s="15" t="s">
        <v>615</v>
      </c>
      <c r="E46" s="15" t="s">
        <v>580</v>
      </c>
      <c r="F46" s="15" t="s">
        <v>581</v>
      </c>
      <c r="G46" s="16">
        <v>44.85</v>
      </c>
      <c r="H46" s="15" t="s">
        <v>406</v>
      </c>
      <c r="I46" s="15" t="s">
        <v>255</v>
      </c>
      <c r="J46" s="15" t="s">
        <v>407</v>
      </c>
      <c r="K46" s="15" t="s">
        <v>54</v>
      </c>
      <c r="L46" s="15" t="s">
        <v>116</v>
      </c>
      <c r="M46" s="15" t="s">
        <v>61</v>
      </c>
      <c r="N46" s="15" t="s">
        <v>312</v>
      </c>
      <c r="O46" s="16">
        <v>44.85</v>
      </c>
      <c r="P46" s="16">
        <v>4.49</v>
      </c>
      <c r="Q46" s="16">
        <v>40.83</v>
      </c>
      <c r="R46" s="16">
        <v>4.0199999999999996</v>
      </c>
      <c r="S46" s="15" t="s">
        <v>49</v>
      </c>
    </row>
    <row r="47" spans="1:19" ht="75" x14ac:dyDescent="0.25">
      <c r="A47" s="15">
        <v>40565757</v>
      </c>
      <c r="B47" s="15" t="s">
        <v>132</v>
      </c>
      <c r="C47" s="15" t="s">
        <v>316</v>
      </c>
      <c r="D47" s="15" t="s">
        <v>616</v>
      </c>
      <c r="E47" s="15" t="s">
        <v>575</v>
      </c>
      <c r="F47" s="15" t="s">
        <v>576</v>
      </c>
      <c r="G47" s="16">
        <v>1194</v>
      </c>
      <c r="H47" s="15" t="s">
        <v>113</v>
      </c>
      <c r="I47" s="15" t="s">
        <v>255</v>
      </c>
      <c r="J47" s="15" t="s">
        <v>392</v>
      </c>
      <c r="K47" s="15" t="s">
        <v>54</v>
      </c>
      <c r="L47" s="15" t="s">
        <v>116</v>
      </c>
      <c r="M47" s="15" t="s">
        <v>61</v>
      </c>
      <c r="N47" s="15" t="s">
        <v>312</v>
      </c>
      <c r="O47" s="16">
        <v>1194</v>
      </c>
      <c r="P47" s="16">
        <v>119.4</v>
      </c>
      <c r="Q47" s="16">
        <v>1081.1500000000001</v>
      </c>
      <c r="R47" s="16">
        <v>112.85</v>
      </c>
      <c r="S47" s="15" t="s">
        <v>49</v>
      </c>
    </row>
    <row r="48" spans="1:19" ht="60" x14ac:dyDescent="0.25">
      <c r="A48" s="15">
        <v>40586766</v>
      </c>
      <c r="B48" s="15" t="s">
        <v>132</v>
      </c>
      <c r="C48" s="15" t="s">
        <v>404</v>
      </c>
      <c r="D48" s="15" t="s">
        <v>617</v>
      </c>
      <c r="E48" s="15" t="s">
        <v>580</v>
      </c>
      <c r="F48" s="15" t="s">
        <v>581</v>
      </c>
      <c r="G48" s="16">
        <v>45.4</v>
      </c>
      <c r="H48" s="15" t="s">
        <v>406</v>
      </c>
      <c r="I48" s="15" t="s">
        <v>255</v>
      </c>
      <c r="J48" s="15" t="s">
        <v>407</v>
      </c>
      <c r="K48" s="15" t="s">
        <v>54</v>
      </c>
      <c r="L48" s="15" t="s">
        <v>116</v>
      </c>
      <c r="M48" s="15" t="s">
        <v>61</v>
      </c>
      <c r="N48" s="15" t="s">
        <v>312</v>
      </c>
      <c r="O48" s="16">
        <v>45.4</v>
      </c>
      <c r="P48" s="16">
        <v>4.54</v>
      </c>
      <c r="Q48" s="16">
        <v>41.3</v>
      </c>
      <c r="R48" s="16">
        <v>4.0999999999999996</v>
      </c>
      <c r="S48" s="15" t="s">
        <v>49</v>
      </c>
    </row>
    <row r="49" spans="1:19" ht="60" x14ac:dyDescent="0.25">
      <c r="A49" s="15">
        <v>40588882</v>
      </c>
      <c r="B49" s="15" t="s">
        <v>132</v>
      </c>
      <c r="C49" s="15" t="s">
        <v>404</v>
      </c>
      <c r="D49" s="15" t="s">
        <v>618</v>
      </c>
      <c r="E49" s="15" t="s">
        <v>580</v>
      </c>
      <c r="F49" s="15" t="s">
        <v>581</v>
      </c>
      <c r="G49" s="16">
        <v>45.4</v>
      </c>
      <c r="H49" s="15" t="s">
        <v>406</v>
      </c>
      <c r="I49" s="15" t="s">
        <v>255</v>
      </c>
      <c r="J49" s="15" t="s">
        <v>407</v>
      </c>
      <c r="K49" s="15" t="s">
        <v>54</v>
      </c>
      <c r="L49" s="15" t="s">
        <v>116</v>
      </c>
      <c r="M49" s="15" t="s">
        <v>61</v>
      </c>
      <c r="N49" s="15" t="s">
        <v>312</v>
      </c>
      <c r="O49" s="16">
        <v>45.4</v>
      </c>
      <c r="P49" s="16">
        <v>4.54</v>
      </c>
      <c r="Q49" s="16">
        <v>41.34</v>
      </c>
      <c r="R49" s="16">
        <v>4.0599999999999996</v>
      </c>
      <c r="S49" s="15" t="s">
        <v>49</v>
      </c>
    </row>
    <row r="50" spans="1:19" ht="75" x14ac:dyDescent="0.25">
      <c r="A50" s="15">
        <v>40565324</v>
      </c>
      <c r="B50" s="15" t="s">
        <v>132</v>
      </c>
      <c r="C50" s="15" t="s">
        <v>316</v>
      </c>
      <c r="D50" s="15" t="s">
        <v>619</v>
      </c>
      <c r="E50" s="15" t="s">
        <v>575</v>
      </c>
      <c r="F50" s="15" t="s">
        <v>576</v>
      </c>
      <c r="G50" s="16">
        <v>1213</v>
      </c>
      <c r="H50" s="15" t="s">
        <v>113</v>
      </c>
      <c r="I50" s="15" t="s">
        <v>255</v>
      </c>
      <c r="J50" s="15" t="s">
        <v>392</v>
      </c>
      <c r="K50" s="15" t="s">
        <v>54</v>
      </c>
      <c r="L50" s="15" t="s">
        <v>116</v>
      </c>
      <c r="M50" s="15" t="s">
        <v>61</v>
      </c>
      <c r="N50" s="15" t="s">
        <v>312</v>
      </c>
      <c r="O50" s="16">
        <v>1213</v>
      </c>
      <c r="P50" s="16">
        <v>121.3</v>
      </c>
      <c r="Q50" s="16">
        <v>1098.3499999999999</v>
      </c>
      <c r="R50" s="16">
        <v>114.65</v>
      </c>
      <c r="S50" s="15" t="s">
        <v>49</v>
      </c>
    </row>
    <row r="51" spans="1:19" ht="75" x14ac:dyDescent="0.25">
      <c r="A51" s="15">
        <v>40631236</v>
      </c>
      <c r="B51" s="15" t="s">
        <v>132</v>
      </c>
      <c r="C51" s="15" t="s">
        <v>316</v>
      </c>
      <c r="D51" s="15" t="s">
        <v>620</v>
      </c>
      <c r="E51" s="15" t="s">
        <v>587</v>
      </c>
      <c r="F51" s="15" t="s">
        <v>588</v>
      </c>
      <c r="G51" s="16">
        <v>1135</v>
      </c>
      <c r="H51" s="15" t="s">
        <v>113</v>
      </c>
      <c r="I51" s="15" t="s">
        <v>114</v>
      </c>
      <c r="J51" s="15" t="s">
        <v>423</v>
      </c>
      <c r="K51" s="15" t="s">
        <v>54</v>
      </c>
      <c r="L51" s="15" t="s">
        <v>116</v>
      </c>
      <c r="M51" s="15" t="s">
        <v>61</v>
      </c>
      <c r="N51" s="15" t="s">
        <v>312</v>
      </c>
      <c r="O51" s="16">
        <v>1225</v>
      </c>
      <c r="P51" s="16">
        <v>122.5</v>
      </c>
      <c r="Q51" s="16">
        <v>1127.3399999999999</v>
      </c>
      <c r="R51" s="16">
        <v>97.66</v>
      </c>
      <c r="S51" s="15" t="s">
        <v>49</v>
      </c>
    </row>
    <row r="52" spans="1:19" ht="60" x14ac:dyDescent="0.25">
      <c r="A52" s="15">
        <v>40577502</v>
      </c>
      <c r="B52" s="15" t="s">
        <v>132</v>
      </c>
      <c r="C52" s="15" t="s">
        <v>412</v>
      </c>
      <c r="D52" s="15" t="s">
        <v>621</v>
      </c>
      <c r="E52" s="15" t="s">
        <v>590</v>
      </c>
      <c r="F52" s="15" t="s">
        <v>584</v>
      </c>
      <c r="G52" s="16">
        <v>298</v>
      </c>
      <c r="H52" s="15" t="s">
        <v>233</v>
      </c>
      <c r="I52" s="15" t="s">
        <v>114</v>
      </c>
      <c r="J52" s="15" t="s">
        <v>428</v>
      </c>
      <c r="K52" s="15" t="s">
        <v>54</v>
      </c>
      <c r="L52" s="15" t="s">
        <v>116</v>
      </c>
      <c r="M52" s="15" t="s">
        <v>61</v>
      </c>
      <c r="N52" s="15" t="s">
        <v>312</v>
      </c>
      <c r="O52" s="16">
        <v>298</v>
      </c>
      <c r="P52" s="16">
        <v>29.8</v>
      </c>
      <c r="Q52" s="16">
        <v>214.24</v>
      </c>
      <c r="R52" s="16">
        <v>83.76</v>
      </c>
      <c r="S52" s="15" t="s">
        <v>49</v>
      </c>
    </row>
    <row r="53" spans="1:19" ht="60" x14ac:dyDescent="0.25">
      <c r="A53" s="15">
        <v>40586878</v>
      </c>
      <c r="B53" s="15" t="s">
        <v>132</v>
      </c>
      <c r="C53" s="15" t="s">
        <v>404</v>
      </c>
      <c r="D53" s="15" t="s">
        <v>622</v>
      </c>
      <c r="E53" s="15" t="s">
        <v>580</v>
      </c>
      <c r="F53" s="15" t="s">
        <v>581</v>
      </c>
      <c r="G53" s="16">
        <v>39.47</v>
      </c>
      <c r="H53" s="15" t="s">
        <v>406</v>
      </c>
      <c r="I53" s="15" t="s">
        <v>255</v>
      </c>
      <c r="J53" s="15" t="s">
        <v>407</v>
      </c>
      <c r="K53" s="15" t="s">
        <v>54</v>
      </c>
      <c r="L53" s="15" t="s">
        <v>116</v>
      </c>
      <c r="M53" s="15" t="s">
        <v>61</v>
      </c>
      <c r="N53" s="15" t="s">
        <v>312</v>
      </c>
      <c r="O53" s="16">
        <v>39.47</v>
      </c>
      <c r="P53" s="16">
        <v>3.95</v>
      </c>
      <c r="Q53" s="16">
        <v>35.9</v>
      </c>
      <c r="R53" s="16">
        <v>3.57</v>
      </c>
      <c r="S53" s="15" t="s">
        <v>49</v>
      </c>
    </row>
    <row r="54" spans="1:19" ht="60" x14ac:dyDescent="0.25">
      <c r="A54" s="15">
        <v>40577682</v>
      </c>
      <c r="B54" s="15" t="s">
        <v>132</v>
      </c>
      <c r="C54" s="15" t="s">
        <v>412</v>
      </c>
      <c r="D54" s="15" t="s">
        <v>623</v>
      </c>
      <c r="E54" s="15" t="s">
        <v>590</v>
      </c>
      <c r="F54" s="15" t="s">
        <v>584</v>
      </c>
      <c r="G54" s="16">
        <v>297</v>
      </c>
      <c r="H54" s="15" t="s">
        <v>233</v>
      </c>
      <c r="I54" s="15" t="s">
        <v>114</v>
      </c>
      <c r="J54" s="15" t="s">
        <v>428</v>
      </c>
      <c r="K54" s="15" t="s">
        <v>54</v>
      </c>
      <c r="L54" s="15" t="s">
        <v>116</v>
      </c>
      <c r="M54" s="15" t="s">
        <v>61</v>
      </c>
      <c r="N54" s="15" t="s">
        <v>312</v>
      </c>
      <c r="O54" s="16">
        <v>297</v>
      </c>
      <c r="P54" s="16">
        <v>29.7</v>
      </c>
      <c r="Q54" s="16">
        <v>213.51</v>
      </c>
      <c r="R54" s="16">
        <v>83.49</v>
      </c>
      <c r="S54" s="15" t="s">
        <v>49</v>
      </c>
    </row>
    <row r="55" spans="1:19" ht="75" x14ac:dyDescent="0.25">
      <c r="A55" s="15">
        <v>40565844</v>
      </c>
      <c r="B55" s="15" t="s">
        <v>132</v>
      </c>
      <c r="C55" s="15" t="s">
        <v>316</v>
      </c>
      <c r="D55" s="15" t="s">
        <v>624</v>
      </c>
      <c r="E55" s="15" t="s">
        <v>575</v>
      </c>
      <c r="F55" s="15" t="s">
        <v>576</v>
      </c>
      <c r="G55" s="16">
        <v>1183</v>
      </c>
      <c r="H55" s="15" t="s">
        <v>113</v>
      </c>
      <c r="I55" s="15" t="s">
        <v>255</v>
      </c>
      <c r="J55" s="15" t="s">
        <v>392</v>
      </c>
      <c r="K55" s="15" t="s">
        <v>54</v>
      </c>
      <c r="L55" s="15" t="s">
        <v>116</v>
      </c>
      <c r="M55" s="15" t="s">
        <v>61</v>
      </c>
      <c r="N55" s="15" t="s">
        <v>312</v>
      </c>
      <c r="O55" s="16">
        <v>1183</v>
      </c>
      <c r="P55" s="16">
        <v>118.3</v>
      </c>
      <c r="Q55" s="16">
        <v>1071.18</v>
      </c>
      <c r="R55" s="16">
        <v>111.82</v>
      </c>
      <c r="S55" s="15" t="s">
        <v>49</v>
      </c>
    </row>
    <row r="56" spans="1:19" ht="60" x14ac:dyDescent="0.25">
      <c r="A56" s="15">
        <v>40577676</v>
      </c>
      <c r="B56" s="15" t="s">
        <v>132</v>
      </c>
      <c r="C56" s="15" t="s">
        <v>412</v>
      </c>
      <c r="D56" s="15" t="s">
        <v>625</v>
      </c>
      <c r="E56" s="15" t="s">
        <v>590</v>
      </c>
      <c r="F56" s="15" t="s">
        <v>584</v>
      </c>
      <c r="G56" s="16">
        <v>297</v>
      </c>
      <c r="H56" s="15" t="s">
        <v>233</v>
      </c>
      <c r="I56" s="15" t="s">
        <v>114</v>
      </c>
      <c r="J56" s="15" t="s">
        <v>428</v>
      </c>
      <c r="K56" s="15" t="s">
        <v>54</v>
      </c>
      <c r="L56" s="15" t="s">
        <v>116</v>
      </c>
      <c r="M56" s="15" t="s">
        <v>61</v>
      </c>
      <c r="N56" s="15" t="s">
        <v>312</v>
      </c>
      <c r="O56" s="16">
        <v>297</v>
      </c>
      <c r="P56" s="16">
        <v>29.7</v>
      </c>
      <c r="Q56" s="16">
        <v>213.51</v>
      </c>
      <c r="R56" s="16">
        <v>83.49</v>
      </c>
      <c r="S56" s="15" t="s">
        <v>49</v>
      </c>
    </row>
    <row r="57" spans="1:19" ht="60" x14ac:dyDescent="0.25">
      <c r="A57" s="15">
        <v>40581966</v>
      </c>
      <c r="B57" s="15" t="s">
        <v>132</v>
      </c>
      <c r="C57" s="15" t="s">
        <v>412</v>
      </c>
      <c r="D57" s="15" t="s">
        <v>626</v>
      </c>
      <c r="E57" s="15" t="s">
        <v>583</v>
      </c>
      <c r="F57" s="15" t="s">
        <v>584</v>
      </c>
      <c r="G57" s="16">
        <v>297</v>
      </c>
      <c r="H57" s="15" t="s">
        <v>233</v>
      </c>
      <c r="I57" s="15" t="s">
        <v>255</v>
      </c>
      <c r="J57" s="15" t="s">
        <v>413</v>
      </c>
      <c r="K57" s="15" t="s">
        <v>54</v>
      </c>
      <c r="L57" s="15" t="s">
        <v>116</v>
      </c>
      <c r="M57" s="15" t="s">
        <v>61</v>
      </c>
      <c r="N57" s="15" t="s">
        <v>312</v>
      </c>
      <c r="O57" s="16">
        <v>297</v>
      </c>
      <c r="P57" s="16">
        <v>29.7</v>
      </c>
      <c r="Q57" s="16">
        <v>269.89999999999998</v>
      </c>
      <c r="R57" s="16">
        <v>27.1</v>
      </c>
      <c r="S57" s="15" t="s">
        <v>49</v>
      </c>
    </row>
    <row r="58" spans="1:19" ht="60" x14ac:dyDescent="0.25">
      <c r="A58" s="15">
        <v>40581964</v>
      </c>
      <c r="B58" s="15" t="s">
        <v>132</v>
      </c>
      <c r="C58" s="15" t="s">
        <v>412</v>
      </c>
      <c r="D58" s="15" t="s">
        <v>627</v>
      </c>
      <c r="E58" s="15" t="s">
        <v>583</v>
      </c>
      <c r="F58" s="15" t="s">
        <v>584</v>
      </c>
      <c r="G58" s="16">
        <v>297</v>
      </c>
      <c r="H58" s="15" t="s">
        <v>233</v>
      </c>
      <c r="I58" s="15" t="s">
        <v>255</v>
      </c>
      <c r="J58" s="15" t="s">
        <v>413</v>
      </c>
      <c r="K58" s="15" t="s">
        <v>54</v>
      </c>
      <c r="L58" s="15" t="s">
        <v>116</v>
      </c>
      <c r="M58" s="15" t="s">
        <v>61</v>
      </c>
      <c r="N58" s="15" t="s">
        <v>312</v>
      </c>
      <c r="O58" s="16">
        <v>297</v>
      </c>
      <c r="P58" s="16">
        <v>29.7</v>
      </c>
      <c r="Q58" s="16">
        <v>269.89999999999998</v>
      </c>
      <c r="R58" s="16">
        <v>27.1</v>
      </c>
      <c r="S58" s="15" t="s">
        <v>49</v>
      </c>
    </row>
    <row r="59" spans="1:19" ht="60" x14ac:dyDescent="0.25">
      <c r="A59" s="15">
        <v>40582136</v>
      </c>
      <c r="B59" s="15" t="s">
        <v>132</v>
      </c>
      <c r="C59" s="15" t="s">
        <v>412</v>
      </c>
      <c r="D59" s="15" t="s">
        <v>628</v>
      </c>
      <c r="E59" s="15" t="s">
        <v>583</v>
      </c>
      <c r="F59" s="15" t="s">
        <v>584</v>
      </c>
      <c r="G59" s="16">
        <v>298</v>
      </c>
      <c r="H59" s="15" t="s">
        <v>233</v>
      </c>
      <c r="I59" s="15" t="s">
        <v>255</v>
      </c>
      <c r="J59" s="15" t="s">
        <v>413</v>
      </c>
      <c r="K59" s="15" t="s">
        <v>54</v>
      </c>
      <c r="L59" s="15" t="s">
        <v>116</v>
      </c>
      <c r="M59" s="15" t="s">
        <v>61</v>
      </c>
      <c r="N59" s="15" t="s">
        <v>312</v>
      </c>
      <c r="O59" s="16">
        <v>298</v>
      </c>
      <c r="P59" s="16">
        <v>29.8</v>
      </c>
      <c r="Q59" s="16">
        <v>270.81</v>
      </c>
      <c r="R59" s="16">
        <v>27.19</v>
      </c>
      <c r="S59" s="15" t="s">
        <v>49</v>
      </c>
    </row>
    <row r="60" spans="1:19" ht="75" x14ac:dyDescent="0.25">
      <c r="A60" s="15">
        <v>40631039</v>
      </c>
      <c r="B60" s="15" t="s">
        <v>132</v>
      </c>
      <c r="C60" s="15" t="s">
        <v>316</v>
      </c>
      <c r="D60" s="15" t="s">
        <v>629</v>
      </c>
      <c r="E60" s="15" t="s">
        <v>587</v>
      </c>
      <c r="F60" s="15" t="s">
        <v>588</v>
      </c>
      <c r="G60" s="16">
        <v>1135</v>
      </c>
      <c r="H60" s="15" t="s">
        <v>113</v>
      </c>
      <c r="I60" s="15" t="s">
        <v>114</v>
      </c>
      <c r="J60" s="15" t="s">
        <v>423</v>
      </c>
      <c r="K60" s="15" t="s">
        <v>54</v>
      </c>
      <c r="L60" s="15" t="s">
        <v>116</v>
      </c>
      <c r="M60" s="15" t="s">
        <v>61</v>
      </c>
      <c r="N60" s="15" t="s">
        <v>312</v>
      </c>
      <c r="O60" s="16">
        <v>1225</v>
      </c>
      <c r="P60" s="16">
        <v>122.5</v>
      </c>
      <c r="Q60" s="16">
        <v>1127.3399999999999</v>
      </c>
      <c r="R60" s="16">
        <v>97.66</v>
      </c>
      <c r="S60" s="15" t="s">
        <v>49</v>
      </c>
    </row>
    <row r="61" spans="1:19" ht="75" x14ac:dyDescent="0.25">
      <c r="A61" s="15">
        <v>40631245</v>
      </c>
      <c r="B61" s="15" t="s">
        <v>132</v>
      </c>
      <c r="C61" s="15" t="s">
        <v>316</v>
      </c>
      <c r="D61" s="15" t="s">
        <v>630</v>
      </c>
      <c r="E61" s="15" t="s">
        <v>587</v>
      </c>
      <c r="F61" s="15" t="s">
        <v>588</v>
      </c>
      <c r="G61" s="16">
        <v>1135</v>
      </c>
      <c r="H61" s="15" t="s">
        <v>113</v>
      </c>
      <c r="I61" s="15" t="s">
        <v>114</v>
      </c>
      <c r="J61" s="15" t="s">
        <v>423</v>
      </c>
      <c r="K61" s="15" t="s">
        <v>54</v>
      </c>
      <c r="L61" s="15" t="s">
        <v>116</v>
      </c>
      <c r="M61" s="15" t="s">
        <v>61</v>
      </c>
      <c r="N61" s="15" t="s">
        <v>312</v>
      </c>
      <c r="O61" s="16">
        <v>1225</v>
      </c>
      <c r="P61" s="16">
        <v>122.5</v>
      </c>
      <c r="Q61" s="16">
        <v>1127.3399999999999</v>
      </c>
      <c r="R61" s="16">
        <v>97.66</v>
      </c>
      <c r="S61" s="15" t="s">
        <v>49</v>
      </c>
    </row>
    <row r="62" spans="1:19" ht="75" x14ac:dyDescent="0.25">
      <c r="A62" s="15">
        <v>40631276</v>
      </c>
      <c r="B62" s="15" t="s">
        <v>132</v>
      </c>
      <c r="C62" s="15" t="s">
        <v>316</v>
      </c>
      <c r="D62" s="15" t="s">
        <v>631</v>
      </c>
      <c r="E62" s="15" t="s">
        <v>587</v>
      </c>
      <c r="F62" s="15" t="s">
        <v>588</v>
      </c>
      <c r="G62" s="16">
        <v>1135</v>
      </c>
      <c r="H62" s="15" t="s">
        <v>113</v>
      </c>
      <c r="I62" s="15" t="s">
        <v>114</v>
      </c>
      <c r="J62" s="15" t="s">
        <v>423</v>
      </c>
      <c r="K62" s="15" t="s">
        <v>54</v>
      </c>
      <c r="L62" s="15" t="s">
        <v>116</v>
      </c>
      <c r="M62" s="15" t="s">
        <v>61</v>
      </c>
      <c r="N62" s="15" t="s">
        <v>312</v>
      </c>
      <c r="O62" s="16">
        <v>1225</v>
      </c>
      <c r="P62" s="16">
        <v>122.5</v>
      </c>
      <c r="Q62" s="16">
        <v>1127.3399999999999</v>
      </c>
      <c r="R62" s="16">
        <v>97.66</v>
      </c>
      <c r="S62" s="15" t="s">
        <v>49</v>
      </c>
    </row>
    <row r="63" spans="1:19" ht="60" x14ac:dyDescent="0.25">
      <c r="A63" s="15">
        <v>40588423</v>
      </c>
      <c r="B63" s="15" t="s">
        <v>132</v>
      </c>
      <c r="C63" s="15" t="s">
        <v>404</v>
      </c>
      <c r="D63" s="15" t="s">
        <v>632</v>
      </c>
      <c r="E63" s="15" t="s">
        <v>580</v>
      </c>
      <c r="F63" s="15" t="s">
        <v>581</v>
      </c>
      <c r="G63" s="16">
        <v>39.47</v>
      </c>
      <c r="H63" s="15" t="s">
        <v>406</v>
      </c>
      <c r="I63" s="15" t="s">
        <v>255</v>
      </c>
      <c r="J63" s="15" t="s">
        <v>407</v>
      </c>
      <c r="K63" s="15" t="s">
        <v>54</v>
      </c>
      <c r="L63" s="15" t="s">
        <v>116</v>
      </c>
      <c r="M63" s="15" t="s">
        <v>61</v>
      </c>
      <c r="N63" s="15" t="s">
        <v>312</v>
      </c>
      <c r="O63" s="16">
        <v>39.47</v>
      </c>
      <c r="P63" s="16">
        <v>3.95</v>
      </c>
      <c r="Q63" s="16">
        <v>35.93</v>
      </c>
      <c r="R63" s="16">
        <v>3.54</v>
      </c>
      <c r="S63" s="15" t="s">
        <v>49</v>
      </c>
    </row>
    <row r="64" spans="1:19" ht="60" x14ac:dyDescent="0.25">
      <c r="A64" s="15">
        <v>40586226</v>
      </c>
      <c r="B64" s="15" t="s">
        <v>132</v>
      </c>
      <c r="C64" s="15" t="s">
        <v>404</v>
      </c>
      <c r="D64" s="15" t="s">
        <v>633</v>
      </c>
      <c r="E64" s="15" t="s">
        <v>580</v>
      </c>
      <c r="F64" s="15" t="s">
        <v>581</v>
      </c>
      <c r="G64" s="16">
        <v>45.4</v>
      </c>
      <c r="H64" s="15" t="s">
        <v>406</v>
      </c>
      <c r="I64" s="15" t="s">
        <v>255</v>
      </c>
      <c r="J64" s="15" t="s">
        <v>407</v>
      </c>
      <c r="K64" s="15" t="s">
        <v>54</v>
      </c>
      <c r="L64" s="15" t="s">
        <v>116</v>
      </c>
      <c r="M64" s="15" t="s">
        <v>61</v>
      </c>
      <c r="N64" s="15" t="s">
        <v>312</v>
      </c>
      <c r="O64" s="16">
        <v>45.4</v>
      </c>
      <c r="P64" s="16">
        <v>4.54</v>
      </c>
      <c r="Q64" s="16">
        <v>41.3</v>
      </c>
      <c r="R64" s="16">
        <v>4.0999999999999996</v>
      </c>
      <c r="S64" s="15" t="s">
        <v>49</v>
      </c>
    </row>
    <row r="65" spans="1:19" ht="60" x14ac:dyDescent="0.25">
      <c r="A65" s="15">
        <v>40577683</v>
      </c>
      <c r="B65" s="15" t="s">
        <v>132</v>
      </c>
      <c r="C65" s="15" t="s">
        <v>412</v>
      </c>
      <c r="D65" s="15" t="s">
        <v>634</v>
      </c>
      <c r="E65" s="15" t="s">
        <v>590</v>
      </c>
      <c r="F65" s="15" t="s">
        <v>584</v>
      </c>
      <c r="G65" s="16">
        <v>298</v>
      </c>
      <c r="H65" s="15" t="s">
        <v>233</v>
      </c>
      <c r="I65" s="15" t="s">
        <v>114</v>
      </c>
      <c r="J65" s="15" t="s">
        <v>428</v>
      </c>
      <c r="K65" s="15" t="s">
        <v>54</v>
      </c>
      <c r="L65" s="15" t="s">
        <v>116</v>
      </c>
      <c r="M65" s="15" t="s">
        <v>61</v>
      </c>
      <c r="N65" s="15" t="s">
        <v>312</v>
      </c>
      <c r="O65" s="16">
        <v>298</v>
      </c>
      <c r="P65" s="16">
        <v>29.8</v>
      </c>
      <c r="Q65" s="16">
        <v>214.24</v>
      </c>
      <c r="R65" s="16">
        <v>83.76</v>
      </c>
      <c r="S65" s="15" t="s">
        <v>49</v>
      </c>
    </row>
    <row r="66" spans="1:19" ht="75" x14ac:dyDescent="0.25">
      <c r="A66" s="15">
        <v>40569086</v>
      </c>
      <c r="B66" s="15" t="s">
        <v>132</v>
      </c>
      <c r="C66" s="15" t="s">
        <v>316</v>
      </c>
      <c r="D66" s="15" t="s">
        <v>635</v>
      </c>
      <c r="E66" s="15" t="s">
        <v>575</v>
      </c>
      <c r="F66" s="15" t="s">
        <v>576</v>
      </c>
      <c r="G66" s="16">
        <v>1183</v>
      </c>
      <c r="H66" s="15" t="s">
        <v>113</v>
      </c>
      <c r="I66" s="15" t="s">
        <v>255</v>
      </c>
      <c r="J66" s="15" t="s">
        <v>392</v>
      </c>
      <c r="K66" s="15" t="s">
        <v>54</v>
      </c>
      <c r="L66" s="15" t="s">
        <v>116</v>
      </c>
      <c r="M66" s="15" t="s">
        <v>61</v>
      </c>
      <c r="N66" s="15" t="s">
        <v>312</v>
      </c>
      <c r="O66" s="16">
        <v>1183</v>
      </c>
      <c r="P66" s="16">
        <v>118.3</v>
      </c>
      <c r="Q66" s="16">
        <v>1072.1500000000001</v>
      </c>
      <c r="R66" s="16">
        <v>110.85</v>
      </c>
      <c r="S66" s="15" t="s">
        <v>49</v>
      </c>
    </row>
    <row r="67" spans="1:19" ht="60" x14ac:dyDescent="0.25">
      <c r="A67" s="15">
        <v>40581335</v>
      </c>
      <c r="B67" s="15" t="s">
        <v>132</v>
      </c>
      <c r="C67" s="15" t="s">
        <v>412</v>
      </c>
      <c r="D67" s="15" t="s">
        <v>636</v>
      </c>
      <c r="E67" s="15" t="s">
        <v>590</v>
      </c>
      <c r="F67" s="15" t="s">
        <v>584</v>
      </c>
      <c r="G67" s="16">
        <v>297</v>
      </c>
      <c r="H67" s="15" t="s">
        <v>233</v>
      </c>
      <c r="I67" s="15" t="s">
        <v>255</v>
      </c>
      <c r="J67" s="15" t="s">
        <v>428</v>
      </c>
      <c r="K67" s="15" t="s">
        <v>54</v>
      </c>
      <c r="L67" s="15" t="s">
        <v>116</v>
      </c>
      <c r="M67" s="15" t="s">
        <v>61</v>
      </c>
      <c r="N67" s="15" t="s">
        <v>312</v>
      </c>
      <c r="O67" s="16">
        <v>297</v>
      </c>
      <c r="P67" s="16">
        <v>29.7</v>
      </c>
      <c r="Q67" s="16">
        <v>269.89999999999998</v>
      </c>
      <c r="R67" s="16">
        <v>27.1</v>
      </c>
      <c r="S67" s="15" t="s">
        <v>49</v>
      </c>
    </row>
    <row r="68" spans="1:19" ht="75" x14ac:dyDescent="0.25">
      <c r="A68" s="15">
        <v>40570776</v>
      </c>
      <c r="B68" s="15" t="s">
        <v>132</v>
      </c>
      <c r="C68" s="15" t="s">
        <v>316</v>
      </c>
      <c r="D68" s="15" t="s">
        <v>637</v>
      </c>
      <c r="E68" s="15" t="s">
        <v>575</v>
      </c>
      <c r="F68" s="15" t="s">
        <v>576</v>
      </c>
      <c r="G68" s="16">
        <v>1133</v>
      </c>
      <c r="H68" s="15" t="s">
        <v>113</v>
      </c>
      <c r="I68" s="15" t="s">
        <v>255</v>
      </c>
      <c r="J68" s="15" t="s">
        <v>392</v>
      </c>
      <c r="K68" s="15" t="s">
        <v>54</v>
      </c>
      <c r="L68" s="15" t="s">
        <v>116</v>
      </c>
      <c r="M68" s="15" t="s">
        <v>61</v>
      </c>
      <c r="N68" s="15" t="s">
        <v>312</v>
      </c>
      <c r="O68" s="16">
        <v>1133</v>
      </c>
      <c r="P68" s="16">
        <v>113.3</v>
      </c>
      <c r="Q68" s="16">
        <v>1026.8399999999999</v>
      </c>
      <c r="R68" s="16">
        <v>106.16</v>
      </c>
      <c r="S68" s="15" t="s">
        <v>49</v>
      </c>
    </row>
    <row r="69" spans="1:19" ht="60" x14ac:dyDescent="0.25">
      <c r="A69" s="15">
        <v>40582139</v>
      </c>
      <c r="B69" s="15" t="s">
        <v>132</v>
      </c>
      <c r="C69" s="15" t="s">
        <v>412</v>
      </c>
      <c r="D69" s="15" t="s">
        <v>638</v>
      </c>
      <c r="E69" s="15" t="s">
        <v>583</v>
      </c>
      <c r="F69" s="15" t="s">
        <v>584</v>
      </c>
      <c r="G69" s="16">
        <v>298</v>
      </c>
      <c r="H69" s="15" t="s">
        <v>233</v>
      </c>
      <c r="I69" s="15" t="s">
        <v>255</v>
      </c>
      <c r="J69" s="15" t="s">
        <v>413</v>
      </c>
      <c r="K69" s="15" t="s">
        <v>54</v>
      </c>
      <c r="L69" s="15" t="s">
        <v>116</v>
      </c>
      <c r="M69" s="15" t="s">
        <v>61</v>
      </c>
      <c r="N69" s="15" t="s">
        <v>312</v>
      </c>
      <c r="O69" s="16">
        <v>298</v>
      </c>
      <c r="P69" s="16">
        <v>29.8</v>
      </c>
      <c r="Q69" s="16">
        <v>270.81</v>
      </c>
      <c r="R69" s="16">
        <v>27.19</v>
      </c>
      <c r="S69" s="15" t="s">
        <v>49</v>
      </c>
    </row>
    <row r="70" spans="1:19" ht="75" x14ac:dyDescent="0.25">
      <c r="A70" s="15">
        <v>40614544</v>
      </c>
      <c r="B70" s="15" t="s">
        <v>132</v>
      </c>
      <c r="C70" s="15" t="s">
        <v>525</v>
      </c>
      <c r="D70" s="15" t="s">
        <v>639</v>
      </c>
      <c r="E70" s="15" t="s">
        <v>640</v>
      </c>
      <c r="F70" s="15" t="s">
        <v>641</v>
      </c>
      <c r="G70" s="16">
        <v>25.5</v>
      </c>
      <c r="H70" s="15" t="s">
        <v>233</v>
      </c>
      <c r="I70" s="15" t="s">
        <v>255</v>
      </c>
      <c r="J70" s="15" t="s">
        <v>527</v>
      </c>
      <c r="K70" s="15" t="s">
        <v>54</v>
      </c>
      <c r="L70" s="15" t="s">
        <v>116</v>
      </c>
      <c r="M70" s="15" t="s">
        <v>61</v>
      </c>
      <c r="N70" s="15" t="s">
        <v>529</v>
      </c>
      <c r="O70" s="16">
        <v>25.5</v>
      </c>
      <c r="P70" s="16">
        <v>2.5499999999999998</v>
      </c>
      <c r="Q70" s="16">
        <v>19.09</v>
      </c>
      <c r="R70" s="16">
        <v>6.41</v>
      </c>
      <c r="S70" s="15" t="s">
        <v>49</v>
      </c>
    </row>
    <row r="71" spans="1:19" ht="75" x14ac:dyDescent="0.25">
      <c r="A71" s="15">
        <v>40614812</v>
      </c>
      <c r="B71" s="15" t="s">
        <v>132</v>
      </c>
      <c r="C71" s="15" t="s">
        <v>525</v>
      </c>
      <c r="D71" s="15" t="s">
        <v>642</v>
      </c>
      <c r="E71" s="15" t="s">
        <v>640</v>
      </c>
      <c r="F71" s="15" t="s">
        <v>641</v>
      </c>
      <c r="G71" s="16">
        <v>25.5</v>
      </c>
      <c r="H71" s="15" t="s">
        <v>233</v>
      </c>
      <c r="I71" s="15" t="s">
        <v>255</v>
      </c>
      <c r="J71" s="15" t="s">
        <v>527</v>
      </c>
      <c r="K71" s="15" t="s">
        <v>54</v>
      </c>
      <c r="L71" s="15" t="s">
        <v>116</v>
      </c>
      <c r="M71" s="15" t="s">
        <v>61</v>
      </c>
      <c r="N71" s="15" t="s">
        <v>529</v>
      </c>
      <c r="O71" s="16">
        <v>25.5</v>
      </c>
      <c r="P71" s="16">
        <v>2.5499999999999998</v>
      </c>
      <c r="Q71" s="16">
        <v>19.09</v>
      </c>
      <c r="R71" s="16">
        <v>6.41</v>
      </c>
      <c r="S71" s="15" t="s">
        <v>49</v>
      </c>
    </row>
    <row r="72" spans="1:19" ht="75" x14ac:dyDescent="0.25">
      <c r="A72" s="15">
        <v>40613868</v>
      </c>
      <c r="B72" s="15" t="s">
        <v>132</v>
      </c>
      <c r="C72" s="15" t="s">
        <v>525</v>
      </c>
      <c r="D72" s="15" t="s">
        <v>643</v>
      </c>
      <c r="E72" s="15" t="s">
        <v>640</v>
      </c>
      <c r="F72" s="15" t="s">
        <v>641</v>
      </c>
      <c r="G72" s="16">
        <v>25.5</v>
      </c>
      <c r="H72" s="15" t="s">
        <v>233</v>
      </c>
      <c r="I72" s="15" t="s">
        <v>255</v>
      </c>
      <c r="J72" s="15" t="s">
        <v>527</v>
      </c>
      <c r="K72" s="15" t="s">
        <v>54</v>
      </c>
      <c r="L72" s="15" t="s">
        <v>116</v>
      </c>
      <c r="M72" s="15" t="s">
        <v>61</v>
      </c>
      <c r="N72" s="15" t="s">
        <v>529</v>
      </c>
      <c r="O72" s="16">
        <v>25.5</v>
      </c>
      <c r="P72" s="16">
        <v>2.5499999999999998</v>
      </c>
      <c r="Q72" s="16">
        <v>19.09</v>
      </c>
      <c r="R72" s="16">
        <v>6.41</v>
      </c>
      <c r="S72" s="15" t="s">
        <v>49</v>
      </c>
    </row>
    <row r="73" spans="1:19" ht="75" x14ac:dyDescent="0.25">
      <c r="A73" s="15">
        <v>40614438</v>
      </c>
      <c r="B73" s="15" t="s">
        <v>132</v>
      </c>
      <c r="C73" s="15" t="s">
        <v>525</v>
      </c>
      <c r="D73" s="15" t="s">
        <v>644</v>
      </c>
      <c r="E73" s="15" t="s">
        <v>640</v>
      </c>
      <c r="F73" s="15" t="s">
        <v>641</v>
      </c>
      <c r="G73" s="16">
        <v>25.5</v>
      </c>
      <c r="H73" s="15" t="s">
        <v>233</v>
      </c>
      <c r="I73" s="15" t="s">
        <v>255</v>
      </c>
      <c r="J73" s="15" t="s">
        <v>527</v>
      </c>
      <c r="K73" s="15" t="s">
        <v>54</v>
      </c>
      <c r="L73" s="15" t="s">
        <v>116</v>
      </c>
      <c r="M73" s="15" t="s">
        <v>61</v>
      </c>
      <c r="N73" s="15" t="s">
        <v>529</v>
      </c>
      <c r="O73" s="16">
        <v>25.5</v>
      </c>
      <c r="P73" s="16">
        <v>2.5499999999999998</v>
      </c>
      <c r="Q73" s="16">
        <v>19.09</v>
      </c>
      <c r="R73" s="16">
        <v>6.41</v>
      </c>
      <c r="S73" s="15" t="s">
        <v>49</v>
      </c>
    </row>
    <row r="74" spans="1:19" ht="75" x14ac:dyDescent="0.25">
      <c r="A74" s="15">
        <v>40614478</v>
      </c>
      <c r="B74" s="15" t="s">
        <v>132</v>
      </c>
      <c r="C74" s="15" t="s">
        <v>525</v>
      </c>
      <c r="D74" s="15" t="s">
        <v>645</v>
      </c>
      <c r="E74" s="15" t="s">
        <v>640</v>
      </c>
      <c r="F74" s="15" t="s">
        <v>641</v>
      </c>
      <c r="G74" s="16">
        <v>25.5</v>
      </c>
      <c r="H74" s="15" t="s">
        <v>233</v>
      </c>
      <c r="I74" s="15" t="s">
        <v>255</v>
      </c>
      <c r="J74" s="15" t="s">
        <v>527</v>
      </c>
      <c r="K74" s="15" t="s">
        <v>54</v>
      </c>
      <c r="L74" s="15" t="s">
        <v>116</v>
      </c>
      <c r="M74" s="15" t="s">
        <v>61</v>
      </c>
      <c r="N74" s="15" t="s">
        <v>529</v>
      </c>
      <c r="O74" s="16">
        <v>25.5</v>
      </c>
      <c r="P74" s="16">
        <v>2.5499999999999998</v>
      </c>
      <c r="Q74" s="16">
        <v>19.09</v>
      </c>
      <c r="R74" s="16">
        <v>6.41</v>
      </c>
      <c r="S74" s="15" t="s">
        <v>49</v>
      </c>
    </row>
    <row r="75" spans="1:19" ht="75" x14ac:dyDescent="0.25">
      <c r="A75" s="15">
        <v>40614810</v>
      </c>
      <c r="B75" s="15" t="s">
        <v>132</v>
      </c>
      <c r="C75" s="15" t="s">
        <v>525</v>
      </c>
      <c r="D75" s="15" t="s">
        <v>646</v>
      </c>
      <c r="E75" s="15" t="s">
        <v>640</v>
      </c>
      <c r="F75" s="15" t="s">
        <v>641</v>
      </c>
      <c r="G75" s="16">
        <v>25.5</v>
      </c>
      <c r="H75" s="15" t="s">
        <v>233</v>
      </c>
      <c r="I75" s="15" t="s">
        <v>255</v>
      </c>
      <c r="J75" s="15" t="s">
        <v>527</v>
      </c>
      <c r="K75" s="15" t="s">
        <v>54</v>
      </c>
      <c r="L75" s="15" t="s">
        <v>116</v>
      </c>
      <c r="M75" s="15" t="s">
        <v>61</v>
      </c>
      <c r="N75" s="15" t="s">
        <v>529</v>
      </c>
      <c r="O75" s="16">
        <v>25.5</v>
      </c>
      <c r="P75" s="16">
        <v>2.5499999999999998</v>
      </c>
      <c r="Q75" s="16">
        <v>19.09</v>
      </c>
      <c r="R75" s="16">
        <v>6.41</v>
      </c>
      <c r="S75" s="15" t="s">
        <v>49</v>
      </c>
    </row>
    <row r="76" spans="1:19" ht="75" x14ac:dyDescent="0.25">
      <c r="A76" s="15">
        <v>40617145</v>
      </c>
      <c r="B76" s="15" t="s">
        <v>132</v>
      </c>
      <c r="C76" s="15" t="s">
        <v>525</v>
      </c>
      <c r="D76" s="15" t="s">
        <v>647</v>
      </c>
      <c r="E76" s="15" t="s">
        <v>640</v>
      </c>
      <c r="F76" s="15" t="s">
        <v>641</v>
      </c>
      <c r="G76" s="16">
        <v>25.5</v>
      </c>
      <c r="H76" s="15" t="s">
        <v>233</v>
      </c>
      <c r="I76" s="15" t="s">
        <v>255</v>
      </c>
      <c r="J76" s="15" t="s">
        <v>527</v>
      </c>
      <c r="K76" s="15" t="s">
        <v>54</v>
      </c>
      <c r="L76" s="15" t="s">
        <v>116</v>
      </c>
      <c r="M76" s="15" t="s">
        <v>61</v>
      </c>
      <c r="N76" s="15" t="s">
        <v>529</v>
      </c>
      <c r="O76" s="16">
        <v>25.5</v>
      </c>
      <c r="P76" s="16">
        <v>2.5499999999999998</v>
      </c>
      <c r="Q76" s="16">
        <v>19.149999999999999</v>
      </c>
      <c r="R76" s="16">
        <v>6.35</v>
      </c>
      <c r="S76" s="15" t="s">
        <v>49</v>
      </c>
    </row>
    <row r="77" spans="1:19" ht="75" x14ac:dyDescent="0.25">
      <c r="A77" s="15">
        <v>40614861</v>
      </c>
      <c r="B77" s="15" t="s">
        <v>132</v>
      </c>
      <c r="C77" s="15" t="s">
        <v>525</v>
      </c>
      <c r="D77" s="15" t="s">
        <v>648</v>
      </c>
      <c r="E77" s="15" t="s">
        <v>640</v>
      </c>
      <c r="F77" s="15" t="s">
        <v>641</v>
      </c>
      <c r="G77" s="16">
        <v>25.5</v>
      </c>
      <c r="H77" s="15" t="s">
        <v>233</v>
      </c>
      <c r="I77" s="15" t="s">
        <v>255</v>
      </c>
      <c r="J77" s="15" t="s">
        <v>527</v>
      </c>
      <c r="K77" s="15" t="s">
        <v>54</v>
      </c>
      <c r="L77" s="15" t="s">
        <v>116</v>
      </c>
      <c r="M77" s="15" t="s">
        <v>61</v>
      </c>
      <c r="N77" s="15" t="s">
        <v>529</v>
      </c>
      <c r="O77" s="16">
        <v>25.5</v>
      </c>
      <c r="P77" s="16">
        <v>2.5499999999999998</v>
      </c>
      <c r="Q77" s="16">
        <v>19.09</v>
      </c>
      <c r="R77" s="16">
        <v>6.41</v>
      </c>
      <c r="S77" s="15" t="s">
        <v>49</v>
      </c>
    </row>
    <row r="78" spans="1:19" ht="75" x14ac:dyDescent="0.25">
      <c r="A78" s="15">
        <v>40614862</v>
      </c>
      <c r="B78" s="15" t="s">
        <v>132</v>
      </c>
      <c r="C78" s="15" t="s">
        <v>525</v>
      </c>
      <c r="D78" s="15" t="s">
        <v>649</v>
      </c>
      <c r="E78" s="15" t="s">
        <v>640</v>
      </c>
      <c r="F78" s="15" t="s">
        <v>641</v>
      </c>
      <c r="G78" s="16">
        <v>25.5</v>
      </c>
      <c r="H78" s="15" t="s">
        <v>233</v>
      </c>
      <c r="I78" s="15" t="s">
        <v>255</v>
      </c>
      <c r="J78" s="15" t="s">
        <v>527</v>
      </c>
      <c r="K78" s="15" t="s">
        <v>54</v>
      </c>
      <c r="L78" s="15" t="s">
        <v>116</v>
      </c>
      <c r="M78" s="15" t="s">
        <v>61</v>
      </c>
      <c r="N78" s="15" t="s">
        <v>529</v>
      </c>
      <c r="O78" s="16">
        <v>25.5</v>
      </c>
      <c r="P78" s="16">
        <v>2.5499999999999998</v>
      </c>
      <c r="Q78" s="16">
        <v>19.09</v>
      </c>
      <c r="R78" s="16">
        <v>6.41</v>
      </c>
      <c r="S78" s="15" t="s">
        <v>49</v>
      </c>
    </row>
    <row r="79" spans="1:19" ht="75" x14ac:dyDescent="0.25">
      <c r="A79" s="15">
        <v>40614688</v>
      </c>
      <c r="B79" s="15" t="s">
        <v>132</v>
      </c>
      <c r="C79" s="15" t="s">
        <v>525</v>
      </c>
      <c r="D79" s="15" t="s">
        <v>650</v>
      </c>
      <c r="E79" s="15" t="s">
        <v>640</v>
      </c>
      <c r="F79" s="15" t="s">
        <v>641</v>
      </c>
      <c r="G79" s="16">
        <v>25.5</v>
      </c>
      <c r="H79" s="15" t="s">
        <v>233</v>
      </c>
      <c r="I79" s="15" t="s">
        <v>255</v>
      </c>
      <c r="J79" s="15" t="s">
        <v>527</v>
      </c>
      <c r="K79" s="15" t="s">
        <v>54</v>
      </c>
      <c r="L79" s="15" t="s">
        <v>116</v>
      </c>
      <c r="M79" s="15" t="s">
        <v>61</v>
      </c>
      <c r="N79" s="15" t="s">
        <v>529</v>
      </c>
      <c r="O79" s="16">
        <v>25.5</v>
      </c>
      <c r="P79" s="16">
        <v>2.5499999999999998</v>
      </c>
      <c r="Q79" s="16">
        <v>19.09</v>
      </c>
      <c r="R79" s="16">
        <v>6.41</v>
      </c>
      <c r="S79" s="15" t="s">
        <v>49</v>
      </c>
    </row>
    <row r="80" spans="1:19" ht="75" x14ac:dyDescent="0.25">
      <c r="A80" s="15">
        <v>40613914</v>
      </c>
      <c r="B80" s="15" t="s">
        <v>132</v>
      </c>
      <c r="C80" s="15" t="s">
        <v>525</v>
      </c>
      <c r="D80" s="15" t="s">
        <v>651</v>
      </c>
      <c r="E80" s="15" t="s">
        <v>640</v>
      </c>
      <c r="F80" s="15" t="s">
        <v>641</v>
      </c>
      <c r="G80" s="16">
        <v>25.5</v>
      </c>
      <c r="H80" s="15" t="s">
        <v>233</v>
      </c>
      <c r="I80" s="15" t="s">
        <v>255</v>
      </c>
      <c r="J80" s="15" t="s">
        <v>527</v>
      </c>
      <c r="K80" s="15" t="s">
        <v>54</v>
      </c>
      <c r="L80" s="15" t="s">
        <v>116</v>
      </c>
      <c r="M80" s="15" t="s">
        <v>61</v>
      </c>
      <c r="N80" s="15" t="s">
        <v>529</v>
      </c>
      <c r="O80" s="16">
        <v>25.5</v>
      </c>
      <c r="P80" s="16">
        <v>2.5499999999999998</v>
      </c>
      <c r="Q80" s="16">
        <v>19.09</v>
      </c>
      <c r="R80" s="16">
        <v>6.41</v>
      </c>
      <c r="S80" s="15" t="s">
        <v>49</v>
      </c>
    </row>
    <row r="81" spans="1:19" ht="75" x14ac:dyDescent="0.25">
      <c r="A81" s="15">
        <v>40617080</v>
      </c>
      <c r="B81" s="15" t="s">
        <v>132</v>
      </c>
      <c r="C81" s="15" t="s">
        <v>525</v>
      </c>
      <c r="D81" s="15" t="s">
        <v>652</v>
      </c>
      <c r="E81" s="15" t="s">
        <v>640</v>
      </c>
      <c r="F81" s="15" t="s">
        <v>641</v>
      </c>
      <c r="G81" s="16">
        <v>25.5</v>
      </c>
      <c r="H81" s="15" t="s">
        <v>233</v>
      </c>
      <c r="I81" s="15" t="s">
        <v>255</v>
      </c>
      <c r="J81" s="15" t="s">
        <v>527</v>
      </c>
      <c r="K81" s="15" t="s">
        <v>54</v>
      </c>
      <c r="L81" s="15" t="s">
        <v>116</v>
      </c>
      <c r="M81" s="15" t="s">
        <v>61</v>
      </c>
      <c r="N81" s="15" t="s">
        <v>529</v>
      </c>
      <c r="O81" s="16">
        <v>25.5</v>
      </c>
      <c r="P81" s="16">
        <v>2.5499999999999998</v>
      </c>
      <c r="Q81" s="16">
        <v>19.149999999999999</v>
      </c>
      <c r="R81" s="16">
        <v>6.35</v>
      </c>
      <c r="S81" s="15" t="s">
        <v>49</v>
      </c>
    </row>
    <row r="82" spans="1:19" ht="75" x14ac:dyDescent="0.25">
      <c r="A82" s="15">
        <v>40617149</v>
      </c>
      <c r="B82" s="15" t="s">
        <v>132</v>
      </c>
      <c r="C82" s="15" t="s">
        <v>525</v>
      </c>
      <c r="D82" s="15" t="s">
        <v>653</v>
      </c>
      <c r="E82" s="15" t="s">
        <v>640</v>
      </c>
      <c r="F82" s="15" t="s">
        <v>641</v>
      </c>
      <c r="G82" s="16">
        <v>25.5</v>
      </c>
      <c r="H82" s="15" t="s">
        <v>233</v>
      </c>
      <c r="I82" s="15" t="s">
        <v>255</v>
      </c>
      <c r="J82" s="15" t="s">
        <v>527</v>
      </c>
      <c r="K82" s="15" t="s">
        <v>54</v>
      </c>
      <c r="L82" s="15" t="s">
        <v>116</v>
      </c>
      <c r="M82" s="15" t="s">
        <v>61</v>
      </c>
      <c r="N82" s="15" t="s">
        <v>529</v>
      </c>
      <c r="O82" s="16">
        <v>25.5</v>
      </c>
      <c r="P82" s="16">
        <v>2.5499999999999998</v>
      </c>
      <c r="Q82" s="16">
        <v>19.149999999999999</v>
      </c>
      <c r="R82" s="16">
        <v>6.35</v>
      </c>
      <c r="S82" s="15" t="s">
        <v>49</v>
      </c>
    </row>
    <row r="83" spans="1:19" ht="75" x14ac:dyDescent="0.25">
      <c r="A83" s="15">
        <v>40614687</v>
      </c>
      <c r="B83" s="15" t="s">
        <v>132</v>
      </c>
      <c r="C83" s="15" t="s">
        <v>525</v>
      </c>
      <c r="D83" s="15" t="s">
        <v>654</v>
      </c>
      <c r="E83" s="15" t="s">
        <v>640</v>
      </c>
      <c r="F83" s="15" t="s">
        <v>641</v>
      </c>
      <c r="G83" s="16">
        <v>25.5</v>
      </c>
      <c r="H83" s="15" t="s">
        <v>233</v>
      </c>
      <c r="I83" s="15" t="s">
        <v>255</v>
      </c>
      <c r="J83" s="15" t="s">
        <v>527</v>
      </c>
      <c r="K83" s="15" t="s">
        <v>54</v>
      </c>
      <c r="L83" s="15" t="s">
        <v>116</v>
      </c>
      <c r="M83" s="15" t="s">
        <v>61</v>
      </c>
      <c r="N83" s="15" t="s">
        <v>529</v>
      </c>
      <c r="O83" s="16">
        <v>25.5</v>
      </c>
      <c r="P83" s="16">
        <v>2.5499999999999998</v>
      </c>
      <c r="Q83" s="16">
        <v>19.09</v>
      </c>
      <c r="R83" s="16">
        <v>6.41</v>
      </c>
      <c r="S83" s="15" t="s">
        <v>49</v>
      </c>
    </row>
    <row r="84" spans="1:19" ht="75" x14ac:dyDescent="0.25">
      <c r="A84" s="15">
        <v>40614813</v>
      </c>
      <c r="B84" s="15" t="s">
        <v>132</v>
      </c>
      <c r="C84" s="15" t="s">
        <v>525</v>
      </c>
      <c r="D84" s="15" t="s">
        <v>655</v>
      </c>
      <c r="E84" s="15" t="s">
        <v>640</v>
      </c>
      <c r="F84" s="15" t="s">
        <v>641</v>
      </c>
      <c r="G84" s="16">
        <v>25.5</v>
      </c>
      <c r="H84" s="15" t="s">
        <v>233</v>
      </c>
      <c r="I84" s="15" t="s">
        <v>255</v>
      </c>
      <c r="J84" s="15" t="s">
        <v>527</v>
      </c>
      <c r="K84" s="15" t="s">
        <v>54</v>
      </c>
      <c r="L84" s="15" t="s">
        <v>116</v>
      </c>
      <c r="M84" s="15" t="s">
        <v>61</v>
      </c>
      <c r="N84" s="15" t="s">
        <v>529</v>
      </c>
      <c r="O84" s="16">
        <v>25.5</v>
      </c>
      <c r="P84" s="16">
        <v>2.5499999999999998</v>
      </c>
      <c r="Q84" s="16">
        <v>19.09</v>
      </c>
      <c r="R84" s="16">
        <v>6.41</v>
      </c>
      <c r="S84" s="15" t="s">
        <v>49</v>
      </c>
    </row>
    <row r="85" spans="1:19" ht="75" x14ac:dyDescent="0.25">
      <c r="A85" s="15">
        <v>40614449</v>
      </c>
      <c r="B85" s="15" t="s">
        <v>132</v>
      </c>
      <c r="C85" s="15" t="s">
        <v>525</v>
      </c>
      <c r="D85" s="15" t="s">
        <v>656</v>
      </c>
      <c r="E85" s="15" t="s">
        <v>640</v>
      </c>
      <c r="F85" s="15" t="s">
        <v>641</v>
      </c>
      <c r="G85" s="16">
        <v>25.5</v>
      </c>
      <c r="H85" s="15" t="s">
        <v>233</v>
      </c>
      <c r="I85" s="15" t="s">
        <v>255</v>
      </c>
      <c r="J85" s="15" t="s">
        <v>527</v>
      </c>
      <c r="K85" s="15" t="s">
        <v>54</v>
      </c>
      <c r="L85" s="15" t="s">
        <v>116</v>
      </c>
      <c r="M85" s="15" t="s">
        <v>61</v>
      </c>
      <c r="N85" s="15" t="s">
        <v>529</v>
      </c>
      <c r="O85" s="16">
        <v>25.5</v>
      </c>
      <c r="P85" s="16">
        <v>2.5499999999999998</v>
      </c>
      <c r="Q85" s="16">
        <v>19.09</v>
      </c>
      <c r="R85" s="16">
        <v>6.41</v>
      </c>
      <c r="S85" s="15" t="s">
        <v>49</v>
      </c>
    </row>
    <row r="86" spans="1:19" ht="75" x14ac:dyDescent="0.25">
      <c r="A86" s="15">
        <v>40614673</v>
      </c>
      <c r="B86" s="15" t="s">
        <v>132</v>
      </c>
      <c r="C86" s="15" t="s">
        <v>525</v>
      </c>
      <c r="D86" s="15" t="s">
        <v>657</v>
      </c>
      <c r="E86" s="15" t="s">
        <v>640</v>
      </c>
      <c r="F86" s="15" t="s">
        <v>641</v>
      </c>
      <c r="G86" s="16">
        <v>25.5</v>
      </c>
      <c r="H86" s="15" t="s">
        <v>233</v>
      </c>
      <c r="I86" s="15" t="s">
        <v>255</v>
      </c>
      <c r="J86" s="15" t="s">
        <v>527</v>
      </c>
      <c r="K86" s="15" t="s">
        <v>54</v>
      </c>
      <c r="L86" s="15" t="s">
        <v>116</v>
      </c>
      <c r="M86" s="15" t="s">
        <v>61</v>
      </c>
      <c r="N86" s="15" t="s">
        <v>529</v>
      </c>
      <c r="O86" s="16">
        <v>25.5</v>
      </c>
      <c r="P86" s="16">
        <v>2.5499999999999998</v>
      </c>
      <c r="Q86" s="16">
        <v>19.09</v>
      </c>
      <c r="R86" s="16">
        <v>6.41</v>
      </c>
      <c r="S86" s="15" t="s">
        <v>49</v>
      </c>
    </row>
    <row r="87" spans="1:19" ht="75" x14ac:dyDescent="0.25">
      <c r="A87" s="15">
        <v>40614811</v>
      </c>
      <c r="B87" s="15" t="s">
        <v>132</v>
      </c>
      <c r="C87" s="15" t="s">
        <v>525</v>
      </c>
      <c r="D87" s="15" t="s">
        <v>658</v>
      </c>
      <c r="E87" s="15" t="s">
        <v>640</v>
      </c>
      <c r="F87" s="15" t="s">
        <v>641</v>
      </c>
      <c r="G87" s="16">
        <v>25.5</v>
      </c>
      <c r="H87" s="15" t="s">
        <v>233</v>
      </c>
      <c r="I87" s="15" t="s">
        <v>255</v>
      </c>
      <c r="J87" s="15" t="s">
        <v>527</v>
      </c>
      <c r="K87" s="15" t="s">
        <v>54</v>
      </c>
      <c r="L87" s="15" t="s">
        <v>116</v>
      </c>
      <c r="M87" s="15" t="s">
        <v>61</v>
      </c>
      <c r="N87" s="15" t="s">
        <v>529</v>
      </c>
      <c r="O87" s="16">
        <v>25.5</v>
      </c>
      <c r="P87" s="16">
        <v>2.5499999999999998</v>
      </c>
      <c r="Q87" s="16">
        <v>19.09</v>
      </c>
      <c r="R87" s="16">
        <v>6.41</v>
      </c>
      <c r="S87" s="15" t="s">
        <v>49</v>
      </c>
    </row>
  </sheetData>
  <sheetProtection algorithmName="SHA-512" hashValue="qGXMJd/ANj39st2jK/EkPOcK+X2JRnn9eUY7mxyRUCk/zBB+9Dn+RoDG7SIfgGx4veNp4sf/dOaaDzZbIbcKIw==" saltValue="gRy/K4J4uioV8xDs1Zp9tA==" spinCount="100000" sheet="1" objects="1" scenarios="1"/>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Reporte_Muebles_27_03_2026 12_3</vt:lpstr>
      <vt:lpstr>Hoja2</vt:lpstr>
      <vt:lpstr>Reporte_Muebles_27_03_2026  (2)</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Joffre Flores</dc:creator>
  <cp:lastModifiedBy>Elva Álvarez</cp:lastModifiedBy>
  <dcterms:created xsi:type="dcterms:W3CDTF">2026-03-27T19:32:56Z</dcterms:created>
  <dcterms:modified xsi:type="dcterms:W3CDTF">2026-04-02T21:57:51Z</dcterms:modified>
</cp:coreProperties>
</file>